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3040" windowHeight="9060"/>
  </bookViews>
  <sheets>
    <sheet name="уточнение 15.12,25 (2)" sheetId="68" r:id="rId1"/>
    <sheet name="уточнение 15.12,25" sheetId="66" r:id="rId2"/>
    <sheet name="поясеительная+" sheetId="63" r:id="rId3"/>
    <sheet name="Прил 1  (2)" sheetId="64" r:id="rId4"/>
    <sheet name="правильно" sheetId="65" r:id="rId5"/>
    <sheet name="Прил 1 " sheetId="62" r:id="rId6"/>
    <sheet name="не актуально ." sheetId="53" state="hidden" r:id="rId7"/>
    <sheet name="не актуально" sheetId="59" state="hidden" r:id="rId8"/>
  </sheets>
  <definedNames>
    <definedName name="_xlnm._FilterDatabase" localSheetId="7" hidden="1">'не актуально'!$A$18:$S$99</definedName>
    <definedName name="_xlnm._FilterDatabase" localSheetId="6" hidden="1">'не актуально .'!$A$26:$U$95</definedName>
    <definedName name="_xlnm._FilterDatabase" localSheetId="2" hidden="1">'поясеительная+'!$A$17:$X$93</definedName>
    <definedName name="_xlnm._FilterDatabase" localSheetId="4" hidden="1">правильно!$A$24:$R$98</definedName>
    <definedName name="_xlnm._FilterDatabase" localSheetId="5" hidden="1">'Прил 1 '!$A$24:$R$98</definedName>
    <definedName name="_xlnm._FilterDatabase" localSheetId="3" hidden="1">'Прил 1  (2)'!$A$24:$R$98</definedName>
    <definedName name="_xlnm._FilterDatabase" localSheetId="1" hidden="1">'уточнение 15.12,25'!$A$24:$Y$113</definedName>
    <definedName name="_xlnm._FilterDatabase" localSheetId="0" hidden="1">'уточнение 15.12,25 (2)'!$A$23:$X$102</definedName>
    <definedName name="_xlnm.Print_Area" localSheetId="6">'не актуально .'!$A$2:$M$95</definedName>
  </definedNames>
  <calcPr calcId="124519" refMode="R1C1"/>
</workbook>
</file>

<file path=xl/calcChain.xml><?xml version="1.0" encoding="utf-8"?>
<calcChain xmlns="http://schemas.openxmlformats.org/spreadsheetml/2006/main">
  <c r="K93" i="68"/>
  <c r="S30"/>
  <c r="Q30"/>
  <c r="Q16" s="1"/>
  <c r="Q58" s="1"/>
  <c r="N30"/>
  <c r="T50"/>
  <c r="T96"/>
  <c r="R84" i="66"/>
  <c r="S84"/>
  <c r="Q84"/>
  <c r="R81"/>
  <c r="S81"/>
  <c r="Q81"/>
  <c r="R37"/>
  <c r="S37"/>
  <c r="Q37"/>
  <c r="O90"/>
  <c r="P90"/>
  <c r="N90"/>
  <c r="O101"/>
  <c r="P101"/>
  <c r="N101"/>
  <c r="N93"/>
  <c r="O93"/>
  <c r="P94"/>
  <c r="N87"/>
  <c r="O87"/>
  <c r="Q87"/>
  <c r="R87"/>
  <c r="O84"/>
  <c r="N84"/>
  <c r="O81"/>
  <c r="L107"/>
  <c r="L109"/>
  <c r="O26"/>
  <c r="R26"/>
  <c r="T26"/>
  <c r="N26"/>
  <c r="L26"/>
  <c r="S71"/>
  <c r="S72"/>
  <c r="S73"/>
  <c r="S74"/>
  <c r="S75"/>
  <c r="S76"/>
  <c r="S77"/>
  <c r="S78"/>
  <c r="S80"/>
  <c r="S82"/>
  <c r="S83"/>
  <c r="S85"/>
  <c r="S87" s="1"/>
  <c r="S86"/>
  <c r="S88"/>
  <c r="S89"/>
  <c r="S90"/>
  <c r="S91"/>
  <c r="S92"/>
  <c r="S93"/>
  <c r="S94"/>
  <c r="S95"/>
  <c r="S96"/>
  <c r="S97"/>
  <c r="S98"/>
  <c r="S99"/>
  <c r="S102"/>
  <c r="S103"/>
  <c r="S107"/>
  <c r="S109"/>
  <c r="S30"/>
  <c r="S31"/>
  <c r="S34"/>
  <c r="S35"/>
  <c r="S36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8"/>
  <c r="S59"/>
  <c r="S65"/>
  <c r="S19"/>
  <c r="S21"/>
  <c r="S23"/>
  <c r="S27"/>
  <c r="S28"/>
  <c r="S29"/>
  <c r="P71"/>
  <c r="P72"/>
  <c r="P73"/>
  <c r="P74"/>
  <c r="P75"/>
  <c r="P76"/>
  <c r="P77"/>
  <c r="P78"/>
  <c r="P80"/>
  <c r="P82"/>
  <c r="P84" s="1"/>
  <c r="P83"/>
  <c r="P85"/>
  <c r="P87" s="1"/>
  <c r="P86"/>
  <c r="P88"/>
  <c r="P89"/>
  <c r="P91"/>
  <c r="P93" s="1"/>
  <c r="P92"/>
  <c r="P95"/>
  <c r="P96"/>
  <c r="P99"/>
  <c r="P100"/>
  <c r="P102"/>
  <c r="P103"/>
  <c r="P107"/>
  <c r="P109"/>
  <c r="P27"/>
  <c r="P28"/>
  <c r="P29"/>
  <c r="P30"/>
  <c r="P31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8"/>
  <c r="P65"/>
  <c r="P19"/>
  <c r="P23"/>
  <c r="K78"/>
  <c r="J78"/>
  <c r="L36"/>
  <c r="L37"/>
  <c r="L35"/>
  <c r="K38"/>
  <c r="J38"/>
  <c r="L25"/>
  <c r="L24"/>
  <c r="K26"/>
  <c r="J26"/>
  <c r="K96"/>
  <c r="J96"/>
  <c r="K93"/>
  <c r="J93"/>
  <c r="K90"/>
  <c r="J90"/>
  <c r="K87"/>
  <c r="J87"/>
  <c r="K84"/>
  <c r="J84"/>
  <c r="K81"/>
  <c r="J81"/>
  <c r="L103"/>
  <c r="L94"/>
  <c r="L95"/>
  <c r="L97"/>
  <c r="L98"/>
  <c r="L99"/>
  <c r="L100"/>
  <c r="L102"/>
  <c r="L82"/>
  <c r="L83"/>
  <c r="L85"/>
  <c r="L87" s="1"/>
  <c r="L86"/>
  <c r="L88"/>
  <c r="L89"/>
  <c r="L91"/>
  <c r="L92"/>
  <c r="L79"/>
  <c r="L80"/>
  <c r="L73"/>
  <c r="L74"/>
  <c r="L75"/>
  <c r="L76"/>
  <c r="L78" s="1"/>
  <c r="L77"/>
  <c r="L72"/>
  <c r="L52"/>
  <c r="L53"/>
  <c r="M79"/>
  <c r="M85"/>
  <c r="M87" s="1"/>
  <c r="G102" i="68"/>
  <c r="L97"/>
  <c r="S94"/>
  <c r="Q94"/>
  <c r="N94"/>
  <c r="K94"/>
  <c r="J94"/>
  <c r="I94"/>
  <c r="G94"/>
  <c r="F94"/>
  <c r="D94"/>
  <c r="C94"/>
  <c r="S93"/>
  <c r="Q93"/>
  <c r="N93"/>
  <c r="G93"/>
  <c r="G100" s="1"/>
  <c r="T92"/>
  <c r="T91"/>
  <c r="T90"/>
  <c r="P90"/>
  <c r="P94" s="1"/>
  <c r="L90"/>
  <c r="H90"/>
  <c r="T89"/>
  <c r="L89"/>
  <c r="H89"/>
  <c r="T88"/>
  <c r="M88"/>
  <c r="M94" s="1"/>
  <c r="L88"/>
  <c r="H88"/>
  <c r="T87"/>
  <c r="M87"/>
  <c r="L87"/>
  <c r="H87"/>
  <c r="T86"/>
  <c r="L86"/>
  <c r="H86"/>
  <c r="E86"/>
  <c r="T85"/>
  <c r="L85"/>
  <c r="H85"/>
  <c r="E85"/>
  <c r="T84"/>
  <c r="L84"/>
  <c r="H84"/>
  <c r="E84"/>
  <c r="T83"/>
  <c r="L83"/>
  <c r="H83"/>
  <c r="E83"/>
  <c r="T82"/>
  <c r="L82"/>
  <c r="H82"/>
  <c r="E82"/>
  <c r="T81"/>
  <c r="L81"/>
  <c r="H81"/>
  <c r="E81"/>
  <c r="T80"/>
  <c r="L80"/>
  <c r="H80"/>
  <c r="E80"/>
  <c r="T79"/>
  <c r="L79"/>
  <c r="H79"/>
  <c r="E79"/>
  <c r="T78"/>
  <c r="L78"/>
  <c r="H78"/>
  <c r="E78"/>
  <c r="T77"/>
  <c r="L77"/>
  <c r="H77"/>
  <c r="E77"/>
  <c r="T76"/>
  <c r="L76"/>
  <c r="H76"/>
  <c r="E76"/>
  <c r="T75"/>
  <c r="M75"/>
  <c r="M67" s="1"/>
  <c r="L75"/>
  <c r="H75"/>
  <c r="E75"/>
  <c r="T74"/>
  <c r="L74"/>
  <c r="H74"/>
  <c r="E74"/>
  <c r="T73"/>
  <c r="L73"/>
  <c r="H73"/>
  <c r="E73"/>
  <c r="T72"/>
  <c r="L72"/>
  <c r="I72"/>
  <c r="F72"/>
  <c r="H72" s="1"/>
  <c r="E72"/>
  <c r="T71"/>
  <c r="L71"/>
  <c r="H71"/>
  <c r="E71"/>
  <c r="T70"/>
  <c r="L70"/>
  <c r="H70"/>
  <c r="E70"/>
  <c r="T69"/>
  <c r="L69"/>
  <c r="H69"/>
  <c r="E69"/>
  <c r="J68"/>
  <c r="J93" s="1"/>
  <c r="I68"/>
  <c r="H68"/>
  <c r="F68"/>
  <c r="D68"/>
  <c r="D93" s="1"/>
  <c r="C68"/>
  <c r="C67" s="1"/>
  <c r="S67"/>
  <c r="R67"/>
  <c r="Q67"/>
  <c r="N67"/>
  <c r="J67"/>
  <c r="L67" s="1"/>
  <c r="G67"/>
  <c r="D67"/>
  <c r="G61"/>
  <c r="G63" s="1"/>
  <c r="S60"/>
  <c r="S102" s="1"/>
  <c r="Q60"/>
  <c r="Q102" s="1"/>
  <c r="P60"/>
  <c r="P102" s="1"/>
  <c r="N60"/>
  <c r="N102" s="1"/>
  <c r="M60"/>
  <c r="M102" s="1"/>
  <c r="I60"/>
  <c r="I102" s="1"/>
  <c r="H60"/>
  <c r="H102" s="1"/>
  <c r="F60"/>
  <c r="F102" s="1"/>
  <c r="E60"/>
  <c r="E102" s="1"/>
  <c r="D60"/>
  <c r="D102" s="1"/>
  <c r="C60"/>
  <c r="C102" s="1"/>
  <c r="H59"/>
  <c r="T57"/>
  <c r="P57"/>
  <c r="P54" s="1"/>
  <c r="M57"/>
  <c r="L57"/>
  <c r="T56"/>
  <c r="M56"/>
  <c r="L56"/>
  <c r="T55"/>
  <c r="L55"/>
  <c r="C55"/>
  <c r="C54" s="1"/>
  <c r="J54"/>
  <c r="L54" s="1"/>
  <c r="I54"/>
  <c r="H54"/>
  <c r="F54"/>
  <c r="E54"/>
  <c r="D54"/>
  <c r="T54" s="1"/>
  <c r="U53"/>
  <c r="T53"/>
  <c r="L53"/>
  <c r="U52"/>
  <c r="T52"/>
  <c r="L52"/>
  <c r="L51"/>
  <c r="F51"/>
  <c r="E51"/>
  <c r="D51"/>
  <c r="T51" s="1"/>
  <c r="C51"/>
  <c r="L50"/>
  <c r="T49"/>
  <c r="L49"/>
  <c r="K48"/>
  <c r="J48"/>
  <c r="H48"/>
  <c r="H58" s="1"/>
  <c r="E48"/>
  <c r="J47"/>
  <c r="L47" s="1"/>
  <c r="I47"/>
  <c r="F47"/>
  <c r="D47"/>
  <c r="T47" s="1"/>
  <c r="C47"/>
  <c r="T46"/>
  <c r="L46"/>
  <c r="H46"/>
  <c r="E46"/>
  <c r="T45"/>
  <c r="L45"/>
  <c r="H45"/>
  <c r="E45"/>
  <c r="T44"/>
  <c r="L44"/>
  <c r="H44"/>
  <c r="H47" s="1"/>
  <c r="E44"/>
  <c r="L43"/>
  <c r="I43"/>
  <c r="G43"/>
  <c r="F43"/>
  <c r="H43" s="1"/>
  <c r="D43"/>
  <c r="E43" s="1"/>
  <c r="C43"/>
  <c r="T42"/>
  <c r="L42"/>
  <c r="H42"/>
  <c r="E42"/>
  <c r="T41"/>
  <c r="L41"/>
  <c r="H41"/>
  <c r="E41"/>
  <c r="T40"/>
  <c r="L40"/>
  <c r="H40"/>
  <c r="E40"/>
  <c r="J39"/>
  <c r="L39" s="1"/>
  <c r="I39"/>
  <c r="H39"/>
  <c r="G39"/>
  <c r="T39" s="1"/>
  <c r="F39"/>
  <c r="E39"/>
  <c r="D39"/>
  <c r="T38"/>
  <c r="L38"/>
  <c r="T37"/>
  <c r="L37"/>
  <c r="T36"/>
  <c r="L36"/>
  <c r="T35"/>
  <c r="L35"/>
  <c r="T34"/>
  <c r="L34"/>
  <c r="T33"/>
  <c r="L33"/>
  <c r="T32"/>
  <c r="L32"/>
  <c r="T31"/>
  <c r="P31"/>
  <c r="M31"/>
  <c r="L31"/>
  <c r="H31"/>
  <c r="E31"/>
  <c r="K30"/>
  <c r="J30"/>
  <c r="L30" s="1"/>
  <c r="H30"/>
  <c r="E30"/>
  <c r="T29"/>
  <c r="L29"/>
  <c r="H29"/>
  <c r="E29"/>
  <c r="T28"/>
  <c r="J28"/>
  <c r="L28" s="1"/>
  <c r="H28"/>
  <c r="E28"/>
  <c r="T27"/>
  <c r="J27"/>
  <c r="L27" s="1"/>
  <c r="H27"/>
  <c r="E27"/>
  <c r="T26"/>
  <c r="T25"/>
  <c r="T24"/>
  <c r="P24"/>
  <c r="P17" s="1"/>
  <c r="M24"/>
  <c r="L24"/>
  <c r="H24"/>
  <c r="E24"/>
  <c r="E17" s="1"/>
  <c r="E59" s="1"/>
  <c r="T23"/>
  <c r="P23"/>
  <c r="M23"/>
  <c r="L23"/>
  <c r="H23"/>
  <c r="E23"/>
  <c r="E16" s="1"/>
  <c r="E58" s="1"/>
  <c r="T22"/>
  <c r="T20"/>
  <c r="O19"/>
  <c r="H19"/>
  <c r="G19"/>
  <c r="K18"/>
  <c r="K60" s="1"/>
  <c r="J18"/>
  <c r="J60" s="1"/>
  <c r="J102" s="1"/>
  <c r="S17"/>
  <c r="S19" s="1"/>
  <c r="R17"/>
  <c r="Q17"/>
  <c r="N17"/>
  <c r="N59" s="1"/>
  <c r="N101" s="1"/>
  <c r="M17"/>
  <c r="M59" s="1"/>
  <c r="K17"/>
  <c r="J17"/>
  <c r="J59" s="1"/>
  <c r="I17"/>
  <c r="I59" s="1"/>
  <c r="I101" s="1"/>
  <c r="F17"/>
  <c r="F19" s="1"/>
  <c r="D17"/>
  <c r="D59" s="1"/>
  <c r="C17"/>
  <c r="C59" s="1"/>
  <c r="S16"/>
  <c r="S58" s="1"/>
  <c r="R16"/>
  <c r="N16"/>
  <c r="N58" s="1"/>
  <c r="M16"/>
  <c r="M58" s="1"/>
  <c r="I16"/>
  <c r="I58" s="1"/>
  <c r="F16"/>
  <c r="F58" s="1"/>
  <c r="D16"/>
  <c r="D58" s="1"/>
  <c r="C16"/>
  <c r="C58" s="1"/>
  <c r="U72" i="66"/>
  <c r="U73"/>
  <c r="U74"/>
  <c r="U75"/>
  <c r="U76"/>
  <c r="U77"/>
  <c r="U79"/>
  <c r="U80"/>
  <c r="U82"/>
  <c r="U83"/>
  <c r="U85"/>
  <c r="U86"/>
  <c r="U88"/>
  <c r="U89"/>
  <c r="U91"/>
  <c r="U92"/>
  <c r="U94"/>
  <c r="U95"/>
  <c r="U97"/>
  <c r="U98"/>
  <c r="U99"/>
  <c r="U100"/>
  <c r="U102"/>
  <c r="U103"/>
  <c r="U107"/>
  <c r="U21"/>
  <c r="U23"/>
  <c r="U24"/>
  <c r="U25"/>
  <c r="U27"/>
  <c r="U28"/>
  <c r="U29"/>
  <c r="U30"/>
  <c r="U31"/>
  <c r="U33"/>
  <c r="U34"/>
  <c r="U35"/>
  <c r="U36"/>
  <c r="U37"/>
  <c r="U39"/>
  <c r="U40"/>
  <c r="U41"/>
  <c r="U43"/>
  <c r="U44"/>
  <c r="U45"/>
  <c r="U47"/>
  <c r="U48"/>
  <c r="U49"/>
  <c r="U52"/>
  <c r="U53"/>
  <c r="U55"/>
  <c r="U56"/>
  <c r="U58"/>
  <c r="U59"/>
  <c r="U60"/>
  <c r="T32"/>
  <c r="T17" s="1"/>
  <c r="T61" s="1"/>
  <c r="R32"/>
  <c r="R17" s="1"/>
  <c r="O32"/>
  <c r="O17" s="1"/>
  <c r="M53"/>
  <c r="J51"/>
  <c r="K51"/>
  <c r="U51" s="1"/>
  <c r="T18"/>
  <c r="T62" s="1"/>
  <c r="R18"/>
  <c r="R62" s="1"/>
  <c r="O18"/>
  <c r="O62" s="1"/>
  <c r="R63"/>
  <c r="R113" s="1"/>
  <c r="T63"/>
  <c r="T113" s="1"/>
  <c r="R70"/>
  <c r="T70"/>
  <c r="R104"/>
  <c r="R105"/>
  <c r="O70"/>
  <c r="O105"/>
  <c r="O104"/>
  <c r="O63"/>
  <c r="O113" s="1"/>
  <c r="N24"/>
  <c r="P24" s="1"/>
  <c r="N25"/>
  <c r="P25" s="1"/>
  <c r="K32"/>
  <c r="K104"/>
  <c r="K70"/>
  <c r="K105"/>
  <c r="M75"/>
  <c r="M76"/>
  <c r="M77"/>
  <c r="M80"/>
  <c r="M82"/>
  <c r="M83"/>
  <c r="M86"/>
  <c r="M88"/>
  <c r="M89"/>
  <c r="M91"/>
  <c r="M93" s="1"/>
  <c r="M92"/>
  <c r="M94"/>
  <c r="M95"/>
  <c r="M97"/>
  <c r="M98"/>
  <c r="M99"/>
  <c r="M100"/>
  <c r="M72"/>
  <c r="M73"/>
  <c r="M74"/>
  <c r="L22" i="63"/>
  <c r="K18" i="66"/>
  <c r="K62" s="1"/>
  <c r="K19"/>
  <c r="K63" s="1"/>
  <c r="K113" s="1"/>
  <c r="J19"/>
  <c r="M58"/>
  <c r="M59"/>
  <c r="M60"/>
  <c r="M52"/>
  <c r="M54"/>
  <c r="M55"/>
  <c r="M56"/>
  <c r="M46"/>
  <c r="M47"/>
  <c r="M48"/>
  <c r="M49"/>
  <c r="M43"/>
  <c r="M44"/>
  <c r="M45"/>
  <c r="M39"/>
  <c r="M40"/>
  <c r="M41"/>
  <c r="M34"/>
  <c r="M35"/>
  <c r="M36"/>
  <c r="M37"/>
  <c r="M33"/>
  <c r="M31"/>
  <c r="M25"/>
  <c r="M24"/>
  <c r="N59"/>
  <c r="P59" s="1"/>
  <c r="N60"/>
  <c r="P60" s="1"/>
  <c r="J29"/>
  <c r="M29" s="1"/>
  <c r="J30"/>
  <c r="M30" s="1"/>
  <c r="J18"/>
  <c r="D54"/>
  <c r="U54" s="1"/>
  <c r="E54"/>
  <c r="F54"/>
  <c r="T104"/>
  <c r="T105"/>
  <c r="L48" i="68" l="1"/>
  <c r="I93"/>
  <c r="I95" s="1"/>
  <c r="D101"/>
  <c r="F93"/>
  <c r="F100" s="1"/>
  <c r="Q95"/>
  <c r="Q97" s="1"/>
  <c r="M61"/>
  <c r="N61"/>
  <c r="N63" s="1"/>
  <c r="J101"/>
  <c r="T30"/>
  <c r="E68"/>
  <c r="C93"/>
  <c r="C95" s="1"/>
  <c r="P26" i="66"/>
  <c r="S113"/>
  <c r="L38"/>
  <c r="P32"/>
  <c r="L96"/>
  <c r="L93"/>
  <c r="L90"/>
  <c r="L84"/>
  <c r="L81"/>
  <c r="M106"/>
  <c r="M108" s="1"/>
  <c r="L19"/>
  <c r="M105"/>
  <c r="L18"/>
  <c r="L51"/>
  <c r="U32"/>
  <c r="M18"/>
  <c r="M19"/>
  <c r="K17"/>
  <c r="U19"/>
  <c r="E101" i="68"/>
  <c r="H61"/>
  <c r="E94"/>
  <c r="E47"/>
  <c r="H93"/>
  <c r="H100" s="1"/>
  <c r="H99" s="1"/>
  <c r="T17"/>
  <c r="P30"/>
  <c r="P16" s="1"/>
  <c r="P58" s="1"/>
  <c r="T94"/>
  <c r="T18"/>
  <c r="T48"/>
  <c r="H94"/>
  <c r="K95"/>
  <c r="K97" s="1"/>
  <c r="H101"/>
  <c r="C101"/>
  <c r="T68"/>
  <c r="L94"/>
  <c r="N100"/>
  <c r="N99" s="1"/>
  <c r="N104" s="1"/>
  <c r="Q19"/>
  <c r="Q100"/>
  <c r="K16"/>
  <c r="T16" s="1"/>
  <c r="R19"/>
  <c r="M19"/>
  <c r="M21" s="1"/>
  <c r="M54"/>
  <c r="F59"/>
  <c r="F101" s="1"/>
  <c r="S95"/>
  <c r="S97" s="1"/>
  <c r="E67"/>
  <c r="F95"/>
  <c r="F67" s="1"/>
  <c r="D61"/>
  <c r="D63" s="1"/>
  <c r="L60"/>
  <c r="L102" s="1"/>
  <c r="K102"/>
  <c r="T102" s="1"/>
  <c r="T60"/>
  <c r="I67"/>
  <c r="I97"/>
  <c r="I100"/>
  <c r="I99" s="1"/>
  <c r="I61"/>
  <c r="C61"/>
  <c r="S100"/>
  <c r="M101"/>
  <c r="J95"/>
  <c r="P59"/>
  <c r="P101" s="1"/>
  <c r="E61"/>
  <c r="T93"/>
  <c r="D100"/>
  <c r="E93"/>
  <c r="E100" s="1"/>
  <c r="E99" s="1"/>
  <c r="D95"/>
  <c r="J16"/>
  <c r="J58" s="1"/>
  <c r="J61" s="1"/>
  <c r="Q59"/>
  <c r="Q101" s="1"/>
  <c r="T67"/>
  <c r="L68"/>
  <c r="L93" s="1"/>
  <c r="P75"/>
  <c r="I19"/>
  <c r="S59"/>
  <c r="S101" s="1"/>
  <c r="M93"/>
  <c r="N95"/>
  <c r="N97" s="1"/>
  <c r="C100"/>
  <c r="C19"/>
  <c r="K59"/>
  <c r="G95"/>
  <c r="D19"/>
  <c r="D21" s="1"/>
  <c r="T21" s="1"/>
  <c r="T43"/>
  <c r="E19"/>
  <c r="G101"/>
  <c r="G99" s="1"/>
  <c r="N19"/>
  <c r="R61" i="66"/>
  <c r="M51"/>
  <c r="O112"/>
  <c r="T64"/>
  <c r="T66" s="1"/>
  <c r="R112"/>
  <c r="T106"/>
  <c r="T108" s="1"/>
  <c r="R20"/>
  <c r="R106"/>
  <c r="O106"/>
  <c r="O108" s="1"/>
  <c r="T20"/>
  <c r="O20"/>
  <c r="O61"/>
  <c r="K112"/>
  <c r="K106"/>
  <c r="T112"/>
  <c r="T111"/>
  <c r="G113"/>
  <c r="J105"/>
  <c r="L105" s="1"/>
  <c r="I105"/>
  <c r="G105"/>
  <c r="G112" s="1"/>
  <c r="F105"/>
  <c r="D105"/>
  <c r="C105"/>
  <c r="G104"/>
  <c r="Q100"/>
  <c r="S100" s="1"/>
  <c r="H100"/>
  <c r="H99"/>
  <c r="N98"/>
  <c r="P98" s="1"/>
  <c r="H98"/>
  <c r="N97"/>
  <c r="P97" s="1"/>
  <c r="H97"/>
  <c r="H95"/>
  <c r="E95"/>
  <c r="H94"/>
  <c r="E94"/>
  <c r="H92"/>
  <c r="E92"/>
  <c r="H91"/>
  <c r="E91"/>
  <c r="H89"/>
  <c r="E89"/>
  <c r="H88"/>
  <c r="E88"/>
  <c r="H86"/>
  <c r="E86"/>
  <c r="H85"/>
  <c r="E85"/>
  <c r="H83"/>
  <c r="E83"/>
  <c r="H82"/>
  <c r="E82"/>
  <c r="H80"/>
  <c r="E80"/>
  <c r="N79"/>
  <c r="H79"/>
  <c r="E79"/>
  <c r="H77"/>
  <c r="E77"/>
  <c r="H76"/>
  <c r="E76"/>
  <c r="I75"/>
  <c r="F75"/>
  <c r="E75"/>
  <c r="H74"/>
  <c r="H71" s="1"/>
  <c r="E74"/>
  <c r="H73"/>
  <c r="E73"/>
  <c r="H72"/>
  <c r="E72"/>
  <c r="J71"/>
  <c r="L71" s="1"/>
  <c r="I71"/>
  <c r="F71"/>
  <c r="D71"/>
  <c r="U71" s="1"/>
  <c r="C71"/>
  <c r="C104" s="1"/>
  <c r="G70"/>
  <c r="G64"/>
  <c r="Q63"/>
  <c r="Q113" s="1"/>
  <c r="N63"/>
  <c r="I63"/>
  <c r="I113" s="1"/>
  <c r="H63"/>
  <c r="H113" s="1"/>
  <c r="F63"/>
  <c r="F113" s="1"/>
  <c r="E63"/>
  <c r="E113" s="1"/>
  <c r="D63"/>
  <c r="U63" s="1"/>
  <c r="C63"/>
  <c r="C113" s="1"/>
  <c r="H62"/>
  <c r="Q60"/>
  <c r="S60" s="1"/>
  <c r="C58"/>
  <c r="C57" s="1"/>
  <c r="J57"/>
  <c r="M57" s="1"/>
  <c r="I57"/>
  <c r="H57"/>
  <c r="F57"/>
  <c r="E57"/>
  <c r="D57"/>
  <c r="U57" s="1"/>
  <c r="V56"/>
  <c r="V55"/>
  <c r="C54"/>
  <c r="H51"/>
  <c r="H61" s="1"/>
  <c r="E51"/>
  <c r="J50"/>
  <c r="M50" s="1"/>
  <c r="I50"/>
  <c r="F50"/>
  <c r="D50"/>
  <c r="U50" s="1"/>
  <c r="C50"/>
  <c r="H49"/>
  <c r="E49"/>
  <c r="H48"/>
  <c r="E48"/>
  <c r="H47"/>
  <c r="E47"/>
  <c r="I46"/>
  <c r="G46"/>
  <c r="F46"/>
  <c r="D46"/>
  <c r="C46"/>
  <c r="H45"/>
  <c r="E45"/>
  <c r="H44"/>
  <c r="E44"/>
  <c r="H43"/>
  <c r="E43"/>
  <c r="J42"/>
  <c r="M42" s="1"/>
  <c r="I42"/>
  <c r="H42"/>
  <c r="G42"/>
  <c r="F42"/>
  <c r="E42"/>
  <c r="D42"/>
  <c r="Q33"/>
  <c r="S33" s="1"/>
  <c r="N33"/>
  <c r="P33" s="1"/>
  <c r="H33"/>
  <c r="E33"/>
  <c r="H32"/>
  <c r="E32"/>
  <c r="H31"/>
  <c r="E31"/>
  <c r="H30"/>
  <c r="E30"/>
  <c r="H29"/>
  <c r="E29"/>
  <c r="Q25"/>
  <c r="H25"/>
  <c r="E25"/>
  <c r="E18" s="1"/>
  <c r="Q24"/>
  <c r="S24" s="1"/>
  <c r="H24"/>
  <c r="E24"/>
  <c r="H20"/>
  <c r="G20"/>
  <c r="I18"/>
  <c r="I62" s="1"/>
  <c r="F18"/>
  <c r="F62" s="1"/>
  <c r="F112" s="1"/>
  <c r="D18"/>
  <c r="U18" s="1"/>
  <c r="C18"/>
  <c r="I17"/>
  <c r="I61" s="1"/>
  <c r="F17"/>
  <c r="F61" s="1"/>
  <c r="D17"/>
  <c r="C17"/>
  <c r="D52" i="65"/>
  <c r="L55"/>
  <c r="L52" s="1"/>
  <c r="L54"/>
  <c r="N54" s="1"/>
  <c r="M55"/>
  <c r="M52"/>
  <c r="N53"/>
  <c r="L98"/>
  <c r="H98"/>
  <c r="G98"/>
  <c r="G97"/>
  <c r="K93"/>
  <c r="J90"/>
  <c r="I90"/>
  <c r="G90"/>
  <c r="F90"/>
  <c r="E90"/>
  <c r="D90"/>
  <c r="C90"/>
  <c r="G89"/>
  <c r="M88"/>
  <c r="M90" s="1"/>
  <c r="H88"/>
  <c r="N87"/>
  <c r="H87"/>
  <c r="N86"/>
  <c r="L86"/>
  <c r="L90" s="1"/>
  <c r="K86"/>
  <c r="H86"/>
  <c r="L85"/>
  <c r="N85" s="1"/>
  <c r="K85"/>
  <c r="H85"/>
  <c r="N84"/>
  <c r="K84"/>
  <c r="H84"/>
  <c r="E84"/>
  <c r="N83"/>
  <c r="K83"/>
  <c r="H83"/>
  <c r="E83"/>
  <c r="N82"/>
  <c r="K82"/>
  <c r="H82"/>
  <c r="E82"/>
  <c r="N81"/>
  <c r="K81"/>
  <c r="H81"/>
  <c r="E81"/>
  <c r="N80"/>
  <c r="K80"/>
  <c r="H80"/>
  <c r="E80"/>
  <c r="N79"/>
  <c r="K79"/>
  <c r="H79"/>
  <c r="E79"/>
  <c r="N78"/>
  <c r="K78"/>
  <c r="H78"/>
  <c r="E78"/>
  <c r="N77"/>
  <c r="K77"/>
  <c r="H77"/>
  <c r="E77"/>
  <c r="N76"/>
  <c r="K76"/>
  <c r="H76"/>
  <c r="E76"/>
  <c r="N75"/>
  <c r="K75"/>
  <c r="H75"/>
  <c r="E75"/>
  <c r="N74"/>
  <c r="K74"/>
  <c r="H74"/>
  <c r="E74"/>
  <c r="L73"/>
  <c r="M73" s="1"/>
  <c r="K73"/>
  <c r="H73"/>
  <c r="E73"/>
  <c r="N72"/>
  <c r="K72"/>
  <c r="H72"/>
  <c r="E72"/>
  <c r="N71"/>
  <c r="K71"/>
  <c r="H71"/>
  <c r="E71"/>
  <c r="N70"/>
  <c r="I70"/>
  <c r="K70" s="1"/>
  <c r="F70"/>
  <c r="H70" s="1"/>
  <c r="E70"/>
  <c r="N69"/>
  <c r="K69"/>
  <c r="H69"/>
  <c r="E69"/>
  <c r="N68"/>
  <c r="K68"/>
  <c r="H68"/>
  <c r="E68"/>
  <c r="N67"/>
  <c r="K67"/>
  <c r="H67"/>
  <c r="E67"/>
  <c r="J66"/>
  <c r="I66"/>
  <c r="H66"/>
  <c r="F66"/>
  <c r="D66"/>
  <c r="N66" s="1"/>
  <c r="C66"/>
  <c r="C65" s="1"/>
  <c r="G65"/>
  <c r="G59"/>
  <c r="G61" s="1"/>
  <c r="M58"/>
  <c r="M98" s="1"/>
  <c r="L58"/>
  <c r="K58"/>
  <c r="K98" s="1"/>
  <c r="I58"/>
  <c r="I98" s="1"/>
  <c r="H58"/>
  <c r="F58"/>
  <c r="F98" s="1"/>
  <c r="E58"/>
  <c r="E98" s="1"/>
  <c r="D58"/>
  <c r="D98" s="1"/>
  <c r="C58"/>
  <c r="C98" s="1"/>
  <c r="H57"/>
  <c r="C57"/>
  <c r="C97" s="1"/>
  <c r="C53"/>
  <c r="C52" s="1"/>
  <c r="K52"/>
  <c r="J52"/>
  <c r="I52"/>
  <c r="H52"/>
  <c r="F52"/>
  <c r="E52"/>
  <c r="O51"/>
  <c r="N51"/>
  <c r="O50"/>
  <c r="N50"/>
  <c r="F49"/>
  <c r="E49"/>
  <c r="D49"/>
  <c r="N49" s="1"/>
  <c r="C49"/>
  <c r="N48"/>
  <c r="H47"/>
  <c r="H56" s="1"/>
  <c r="H59" s="1"/>
  <c r="E47"/>
  <c r="J46"/>
  <c r="K46" s="1"/>
  <c r="I46"/>
  <c r="F46"/>
  <c r="D46"/>
  <c r="E46" s="1"/>
  <c r="C46"/>
  <c r="N45"/>
  <c r="K45"/>
  <c r="H45"/>
  <c r="E45"/>
  <c r="N44"/>
  <c r="K44"/>
  <c r="H44"/>
  <c r="E44"/>
  <c r="N43"/>
  <c r="K43"/>
  <c r="H43"/>
  <c r="E43"/>
  <c r="I42"/>
  <c r="K42" s="1"/>
  <c r="G42"/>
  <c r="N42" s="1"/>
  <c r="F42"/>
  <c r="D42"/>
  <c r="C42"/>
  <c r="N41"/>
  <c r="K41"/>
  <c r="H41"/>
  <c r="E41"/>
  <c r="N40"/>
  <c r="K40"/>
  <c r="K18" s="1"/>
  <c r="K20" s="1"/>
  <c r="K22" s="1"/>
  <c r="H40"/>
  <c r="E40"/>
  <c r="N39"/>
  <c r="K39"/>
  <c r="H39"/>
  <c r="E39"/>
  <c r="K38"/>
  <c r="J38"/>
  <c r="I38"/>
  <c r="H38"/>
  <c r="G38"/>
  <c r="F38"/>
  <c r="E38"/>
  <c r="D38"/>
  <c r="N37"/>
  <c r="N36"/>
  <c r="N35"/>
  <c r="N34"/>
  <c r="N33"/>
  <c r="N32"/>
  <c r="N31"/>
  <c r="M30"/>
  <c r="L30"/>
  <c r="N30" s="1"/>
  <c r="K30"/>
  <c r="H30"/>
  <c r="E30"/>
  <c r="L29"/>
  <c r="H29"/>
  <c r="E29"/>
  <c r="N28"/>
  <c r="K28"/>
  <c r="H28"/>
  <c r="E28"/>
  <c r="H27"/>
  <c r="E27"/>
  <c r="H26"/>
  <c r="E26"/>
  <c r="M25"/>
  <c r="L25"/>
  <c r="N25" s="1"/>
  <c r="K25"/>
  <c r="H25"/>
  <c r="E25"/>
  <c r="E18" s="1"/>
  <c r="E57" s="1"/>
  <c r="E97" s="1"/>
  <c r="M24"/>
  <c r="L24"/>
  <c r="N24" s="1"/>
  <c r="K24"/>
  <c r="H24"/>
  <c r="E24"/>
  <c r="N23"/>
  <c r="H20"/>
  <c r="G20"/>
  <c r="J19"/>
  <c r="J58" s="1"/>
  <c r="J98" s="1"/>
  <c r="M18"/>
  <c r="L18"/>
  <c r="J18"/>
  <c r="I18"/>
  <c r="I57" s="1"/>
  <c r="I97" s="1"/>
  <c r="F18"/>
  <c r="F57" s="1"/>
  <c r="D18"/>
  <c r="D57" s="1"/>
  <c r="C18"/>
  <c r="I17"/>
  <c r="I56" s="1"/>
  <c r="F17"/>
  <c r="F56" s="1"/>
  <c r="D17"/>
  <c r="D56" s="1"/>
  <c r="C17"/>
  <c r="C20" s="1"/>
  <c r="G98" i="64"/>
  <c r="G97"/>
  <c r="K93"/>
  <c r="J90"/>
  <c r="I90"/>
  <c r="G90"/>
  <c r="F90"/>
  <c r="D90"/>
  <c r="E90" s="1"/>
  <c r="C90"/>
  <c r="J89"/>
  <c r="G89"/>
  <c r="G91" s="1"/>
  <c r="M88"/>
  <c r="M90" s="1"/>
  <c r="H88"/>
  <c r="N87"/>
  <c r="H87"/>
  <c r="L86"/>
  <c r="L90" s="1"/>
  <c r="K86"/>
  <c r="H86"/>
  <c r="L85"/>
  <c r="N85" s="1"/>
  <c r="K85"/>
  <c r="H85"/>
  <c r="N84"/>
  <c r="K84"/>
  <c r="H84"/>
  <c r="E84"/>
  <c r="N83"/>
  <c r="K83"/>
  <c r="H83"/>
  <c r="E83"/>
  <c r="N82"/>
  <c r="K82"/>
  <c r="H82"/>
  <c r="E82"/>
  <c r="N81"/>
  <c r="K81"/>
  <c r="H81"/>
  <c r="E81"/>
  <c r="N80"/>
  <c r="K80"/>
  <c r="H80"/>
  <c r="E80"/>
  <c r="N79"/>
  <c r="K79"/>
  <c r="H79"/>
  <c r="E79"/>
  <c r="N78"/>
  <c r="K78"/>
  <c r="H78"/>
  <c r="E78"/>
  <c r="N77"/>
  <c r="K77"/>
  <c r="H77"/>
  <c r="E77"/>
  <c r="N76"/>
  <c r="K76"/>
  <c r="H76"/>
  <c r="E76"/>
  <c r="N75"/>
  <c r="K75"/>
  <c r="H75"/>
  <c r="E75"/>
  <c r="N74"/>
  <c r="K74"/>
  <c r="H74"/>
  <c r="E74"/>
  <c r="L73"/>
  <c r="M73" s="1"/>
  <c r="K73"/>
  <c r="H73"/>
  <c r="E73"/>
  <c r="N72"/>
  <c r="K72"/>
  <c r="K90" s="1"/>
  <c r="H72"/>
  <c r="H90" s="1"/>
  <c r="E72"/>
  <c r="N71"/>
  <c r="K71"/>
  <c r="H71"/>
  <c r="E71"/>
  <c r="N70"/>
  <c r="I70"/>
  <c r="K70" s="1"/>
  <c r="F70"/>
  <c r="H70" s="1"/>
  <c r="E70"/>
  <c r="N69"/>
  <c r="K69"/>
  <c r="H69"/>
  <c r="E69"/>
  <c r="N68"/>
  <c r="K68"/>
  <c r="H68"/>
  <c r="E68"/>
  <c r="N67"/>
  <c r="K67"/>
  <c r="H67"/>
  <c r="E67"/>
  <c r="J66"/>
  <c r="I66"/>
  <c r="H66"/>
  <c r="F66"/>
  <c r="D66"/>
  <c r="N66" s="1"/>
  <c r="C66"/>
  <c r="C65" s="1"/>
  <c r="G65"/>
  <c r="G59"/>
  <c r="G61" s="1"/>
  <c r="M58"/>
  <c r="M98" s="1"/>
  <c r="L58"/>
  <c r="L98" s="1"/>
  <c r="K58"/>
  <c r="K98" s="1"/>
  <c r="I58"/>
  <c r="I98" s="1"/>
  <c r="H58"/>
  <c r="H98" s="1"/>
  <c r="F58"/>
  <c r="F98" s="1"/>
  <c r="E58"/>
  <c r="E98" s="1"/>
  <c r="D58"/>
  <c r="C58"/>
  <c r="C98" s="1"/>
  <c r="H57"/>
  <c r="N55"/>
  <c r="L52"/>
  <c r="N54"/>
  <c r="N53"/>
  <c r="C53"/>
  <c r="C52" s="1"/>
  <c r="M52"/>
  <c r="K52"/>
  <c r="J52"/>
  <c r="I52"/>
  <c r="H52"/>
  <c r="F52"/>
  <c r="E52"/>
  <c r="D52"/>
  <c r="O51"/>
  <c r="N51"/>
  <c r="O50"/>
  <c r="N50"/>
  <c r="N49"/>
  <c r="F49"/>
  <c r="E49"/>
  <c r="D49"/>
  <c r="C49"/>
  <c r="N48"/>
  <c r="H47"/>
  <c r="H56" s="1"/>
  <c r="H59" s="1"/>
  <c r="E47"/>
  <c r="J46"/>
  <c r="K46" s="1"/>
  <c r="I46"/>
  <c r="F46"/>
  <c r="D46"/>
  <c r="C46"/>
  <c r="N45"/>
  <c r="K45"/>
  <c r="H45"/>
  <c r="E45"/>
  <c r="N44"/>
  <c r="K44"/>
  <c r="H44"/>
  <c r="E44"/>
  <c r="N43"/>
  <c r="K43"/>
  <c r="H43"/>
  <c r="H46" s="1"/>
  <c r="E43"/>
  <c r="I42"/>
  <c r="K42" s="1"/>
  <c r="G42"/>
  <c r="F42"/>
  <c r="D42"/>
  <c r="C42"/>
  <c r="N41"/>
  <c r="K41"/>
  <c r="H41"/>
  <c r="E41"/>
  <c r="N40"/>
  <c r="K40"/>
  <c r="H40"/>
  <c r="E40"/>
  <c r="N39"/>
  <c r="K39"/>
  <c r="H39"/>
  <c r="E39"/>
  <c r="K38"/>
  <c r="J38"/>
  <c r="I38"/>
  <c r="H38"/>
  <c r="G38"/>
  <c r="F38"/>
  <c r="E38"/>
  <c r="D38"/>
  <c r="N37"/>
  <c r="N36"/>
  <c r="N35"/>
  <c r="N34"/>
  <c r="N33"/>
  <c r="N32"/>
  <c r="N31"/>
  <c r="M30"/>
  <c r="L30"/>
  <c r="N30" s="1"/>
  <c r="K30"/>
  <c r="H30"/>
  <c r="E30"/>
  <c r="L29"/>
  <c r="H29"/>
  <c r="E29"/>
  <c r="N28"/>
  <c r="K28"/>
  <c r="H28"/>
  <c r="E28"/>
  <c r="H27"/>
  <c r="E27"/>
  <c r="H26"/>
  <c r="E26"/>
  <c r="M25"/>
  <c r="N25" s="1"/>
  <c r="L25"/>
  <c r="L18" s="1"/>
  <c r="K25"/>
  <c r="K18" s="1"/>
  <c r="K20" s="1"/>
  <c r="K22" s="1"/>
  <c r="H25"/>
  <c r="E25"/>
  <c r="M24"/>
  <c r="L24"/>
  <c r="N24" s="1"/>
  <c r="K24"/>
  <c r="H24"/>
  <c r="E24"/>
  <c r="N23"/>
  <c r="H20"/>
  <c r="G20"/>
  <c r="C20"/>
  <c r="N19"/>
  <c r="J19"/>
  <c r="J58" s="1"/>
  <c r="J98" s="1"/>
  <c r="J18"/>
  <c r="J57" s="1"/>
  <c r="J97" s="1"/>
  <c r="I18"/>
  <c r="I20" s="1"/>
  <c r="F18"/>
  <c r="F57" s="1"/>
  <c r="F97" s="1"/>
  <c r="E18"/>
  <c r="E57" s="1"/>
  <c r="E97" s="1"/>
  <c r="D18"/>
  <c r="D57" s="1"/>
  <c r="C18"/>
  <c r="C57" s="1"/>
  <c r="C97" s="1"/>
  <c r="I17"/>
  <c r="I56" s="1"/>
  <c r="F17"/>
  <c r="F56" s="1"/>
  <c r="D17"/>
  <c r="D56" s="1"/>
  <c r="C17"/>
  <c r="O55" i="63"/>
  <c r="P55" s="1"/>
  <c r="L55" i="62"/>
  <c r="L61" i="63"/>
  <c r="L62"/>
  <c r="N51" i="62"/>
  <c r="R56" i="63"/>
  <c r="S56" s="1"/>
  <c r="R55"/>
  <c r="S55" s="1"/>
  <c r="K19" i="68" l="1"/>
  <c r="H95"/>
  <c r="P61"/>
  <c r="F61"/>
  <c r="Q99"/>
  <c r="Q104" s="1"/>
  <c r="Q18" i="66"/>
  <c r="S18" s="1"/>
  <c r="Q26"/>
  <c r="S25"/>
  <c r="S26" s="1"/>
  <c r="R111"/>
  <c r="R108"/>
  <c r="S108" s="1"/>
  <c r="X18"/>
  <c r="S63"/>
  <c r="N113"/>
  <c r="P113" s="1"/>
  <c r="P63"/>
  <c r="Q79"/>
  <c r="S79" s="1"/>
  <c r="N81"/>
  <c r="P79"/>
  <c r="P81" s="1"/>
  <c r="O64"/>
  <c r="K61"/>
  <c r="K64" s="1"/>
  <c r="K20"/>
  <c r="U17"/>
  <c r="K108"/>
  <c r="L108" s="1"/>
  <c r="U46"/>
  <c r="R64"/>
  <c r="U105"/>
  <c r="G66"/>
  <c r="U42"/>
  <c r="R110"/>
  <c r="J100" i="68"/>
  <c r="J99" s="1"/>
  <c r="K58"/>
  <c r="C99"/>
  <c r="F99"/>
  <c r="P19"/>
  <c r="P21" s="1"/>
  <c r="H67"/>
  <c r="H97"/>
  <c r="M100"/>
  <c r="M99" s="1"/>
  <c r="M113" s="1"/>
  <c r="M95"/>
  <c r="M97" s="1"/>
  <c r="S61"/>
  <c r="S63" s="1"/>
  <c r="L59"/>
  <c r="L101" s="1"/>
  <c r="T59"/>
  <c r="K101"/>
  <c r="T95"/>
  <c r="D97"/>
  <c r="T97" s="1"/>
  <c r="E95"/>
  <c r="S99"/>
  <c r="S104" s="1"/>
  <c r="P67"/>
  <c r="P93"/>
  <c r="D99"/>
  <c r="J19"/>
  <c r="J21" s="1"/>
  <c r="T19"/>
  <c r="Q61"/>
  <c r="Q63" s="1"/>
  <c r="O111" i="66"/>
  <c r="O110" s="1"/>
  <c r="O115" s="1"/>
  <c r="D113"/>
  <c r="U113" s="1"/>
  <c r="C61"/>
  <c r="C111" s="1"/>
  <c r="F104"/>
  <c r="F106" s="1"/>
  <c r="F70" s="1"/>
  <c r="I112"/>
  <c r="J104"/>
  <c r="M71"/>
  <c r="M104" s="1"/>
  <c r="Q105"/>
  <c r="S105" s="1"/>
  <c r="D104"/>
  <c r="N18"/>
  <c r="P18" s="1"/>
  <c r="N70"/>
  <c r="P70" s="1"/>
  <c r="E46"/>
  <c r="Q57"/>
  <c r="S57" s="1"/>
  <c r="Q70"/>
  <c r="S70" s="1"/>
  <c r="J63"/>
  <c r="T110"/>
  <c r="T115" s="1"/>
  <c r="H50"/>
  <c r="I104"/>
  <c r="I106" s="1"/>
  <c r="D70"/>
  <c r="U70" s="1"/>
  <c r="H64"/>
  <c r="C20"/>
  <c r="H46"/>
  <c r="E17"/>
  <c r="E61" s="1"/>
  <c r="N105"/>
  <c r="P105" s="1"/>
  <c r="L97" i="64"/>
  <c r="L103" s="1"/>
  <c r="L57"/>
  <c r="M89"/>
  <c r="N73"/>
  <c r="M65"/>
  <c r="E42"/>
  <c r="C56"/>
  <c r="C59" s="1"/>
  <c r="H42"/>
  <c r="L65"/>
  <c r="E17" i="65"/>
  <c r="J70" i="66"/>
  <c r="K90" i="65"/>
  <c r="G91"/>
  <c r="E50" i="66"/>
  <c r="C62"/>
  <c r="C112" s="1"/>
  <c r="H105"/>
  <c r="H112" s="1"/>
  <c r="D20" i="64"/>
  <c r="D22" s="1"/>
  <c r="H89" i="65"/>
  <c r="H96" s="1"/>
  <c r="H95" s="1"/>
  <c r="H90"/>
  <c r="F89"/>
  <c r="F91" s="1"/>
  <c r="F65" s="1"/>
  <c r="Q62" i="66"/>
  <c r="S62" s="1"/>
  <c r="N38" i="64"/>
  <c r="H46" i="65"/>
  <c r="I89"/>
  <c r="I91" s="1"/>
  <c r="H97" i="64"/>
  <c r="K66" i="65"/>
  <c r="K65" s="1"/>
  <c r="J89"/>
  <c r="I89" i="64"/>
  <c r="I96" s="1"/>
  <c r="I20" i="65"/>
  <c r="E17" i="64"/>
  <c r="D20" i="65"/>
  <c r="D22" s="1"/>
  <c r="M18" i="64"/>
  <c r="M57" s="1"/>
  <c r="M97" s="1"/>
  <c r="M103" s="1"/>
  <c r="O56" i="63"/>
  <c r="P56" s="1"/>
  <c r="N18" i="64"/>
  <c r="N88"/>
  <c r="F97" i="65"/>
  <c r="E42"/>
  <c r="L65"/>
  <c r="G106" i="66"/>
  <c r="E46" i="64"/>
  <c r="K66"/>
  <c r="G96"/>
  <c r="G95" s="1"/>
  <c r="I59" i="65"/>
  <c r="N38"/>
  <c r="H97"/>
  <c r="N88"/>
  <c r="H89" i="64"/>
  <c r="H96" s="1"/>
  <c r="H95" s="1"/>
  <c r="F89"/>
  <c r="F96" s="1"/>
  <c r="F95" s="1"/>
  <c r="H75" i="66"/>
  <c r="H104" s="1"/>
  <c r="C106"/>
  <c r="E62"/>
  <c r="F64"/>
  <c r="I64"/>
  <c r="N17"/>
  <c r="I20"/>
  <c r="D61"/>
  <c r="U61" s="1"/>
  <c r="J62"/>
  <c r="L62" s="1"/>
  <c r="N104"/>
  <c r="P104" s="1"/>
  <c r="C70"/>
  <c r="Q104"/>
  <c r="S104" s="1"/>
  <c r="G111"/>
  <c r="G110" s="1"/>
  <c r="D20"/>
  <c r="U20" s="1"/>
  <c r="D62"/>
  <c r="U62" s="1"/>
  <c r="F20"/>
  <c r="N57"/>
  <c r="P57" s="1"/>
  <c r="E105"/>
  <c r="E71"/>
  <c r="N52" i="65"/>
  <c r="L57"/>
  <c r="L97" s="1"/>
  <c r="L103" s="1"/>
  <c r="N55"/>
  <c r="M57"/>
  <c r="M97" s="1"/>
  <c r="M103" s="1"/>
  <c r="H91"/>
  <c r="N98"/>
  <c r="I96"/>
  <c r="I95" s="1"/>
  <c r="D59"/>
  <c r="N90"/>
  <c r="F59"/>
  <c r="E56"/>
  <c r="E59" s="1"/>
  <c r="E20"/>
  <c r="N57"/>
  <c r="D97"/>
  <c r="N73"/>
  <c r="M65"/>
  <c r="M89"/>
  <c r="J91"/>
  <c r="J93" s="1"/>
  <c r="F20"/>
  <c r="H42"/>
  <c r="N46"/>
  <c r="C56"/>
  <c r="C59" s="1"/>
  <c r="N58"/>
  <c r="E66"/>
  <c r="C89"/>
  <c r="J57"/>
  <c r="J97" s="1"/>
  <c r="J65"/>
  <c r="D89"/>
  <c r="L89"/>
  <c r="N18"/>
  <c r="K57"/>
  <c r="K97" s="1"/>
  <c r="G96"/>
  <c r="G95" s="1"/>
  <c r="D65"/>
  <c r="N19"/>
  <c r="N52" i="64"/>
  <c r="D59"/>
  <c r="N58"/>
  <c r="M91"/>
  <c r="M93" s="1"/>
  <c r="F59"/>
  <c r="E56"/>
  <c r="E59" s="1"/>
  <c r="E20"/>
  <c r="K65"/>
  <c r="K89"/>
  <c r="N90"/>
  <c r="N57"/>
  <c r="D98"/>
  <c r="N98" s="1"/>
  <c r="F20"/>
  <c r="N46"/>
  <c r="I57"/>
  <c r="I97" s="1"/>
  <c r="E66"/>
  <c r="C89"/>
  <c r="J91"/>
  <c r="J93" s="1"/>
  <c r="J65"/>
  <c r="D89"/>
  <c r="L89"/>
  <c r="K57"/>
  <c r="K97" s="1"/>
  <c r="N86"/>
  <c r="N42"/>
  <c r="D65"/>
  <c r="D97"/>
  <c r="N97" s="1"/>
  <c r="J66" i="62"/>
  <c r="J89"/>
  <c r="J90"/>
  <c r="L73"/>
  <c r="M73" s="1"/>
  <c r="L24"/>
  <c r="M24"/>
  <c r="L25"/>
  <c r="M25"/>
  <c r="M64" i="63"/>
  <c r="M65"/>
  <c r="L29" i="62"/>
  <c r="M52"/>
  <c r="L52"/>
  <c r="S48" i="63"/>
  <c r="R48" s="1"/>
  <c r="P48"/>
  <c r="O48" s="1"/>
  <c r="P45"/>
  <c r="M22"/>
  <c r="M40"/>
  <c r="M20"/>
  <c r="M19"/>
  <c r="G93"/>
  <c r="K88"/>
  <c r="G88"/>
  <c r="G87"/>
  <c r="T87" s="1"/>
  <c r="J85"/>
  <c r="I85"/>
  <c r="G85"/>
  <c r="G92" s="1"/>
  <c r="F85"/>
  <c r="D85"/>
  <c r="C85"/>
  <c r="G84"/>
  <c r="Q83"/>
  <c r="T83" s="1"/>
  <c r="H83"/>
  <c r="T82"/>
  <c r="H82"/>
  <c r="N81"/>
  <c r="T81" s="1"/>
  <c r="K81"/>
  <c r="H81"/>
  <c r="N80"/>
  <c r="T80" s="1"/>
  <c r="K80"/>
  <c r="H80"/>
  <c r="T79"/>
  <c r="K79"/>
  <c r="H79"/>
  <c r="E79"/>
  <c r="Q78"/>
  <c r="N78"/>
  <c r="K78"/>
  <c r="H78"/>
  <c r="E78"/>
  <c r="T77"/>
  <c r="K77"/>
  <c r="H77"/>
  <c r="E77"/>
  <c r="T76"/>
  <c r="K76"/>
  <c r="H76"/>
  <c r="E76"/>
  <c r="N75"/>
  <c r="K75"/>
  <c r="H75"/>
  <c r="E75"/>
  <c r="N74"/>
  <c r="K74"/>
  <c r="H74"/>
  <c r="E74"/>
  <c r="N73"/>
  <c r="K73"/>
  <c r="H73"/>
  <c r="E73"/>
  <c r="N72"/>
  <c r="Q72" s="1"/>
  <c r="T72" s="1"/>
  <c r="K72"/>
  <c r="H72"/>
  <c r="E72"/>
  <c r="Q71"/>
  <c r="N71"/>
  <c r="K71"/>
  <c r="H71"/>
  <c r="E71"/>
  <c r="Q70"/>
  <c r="N70"/>
  <c r="K70"/>
  <c r="H70"/>
  <c r="E70"/>
  <c r="N69"/>
  <c r="Q69" s="1"/>
  <c r="K69"/>
  <c r="H69"/>
  <c r="E69"/>
  <c r="N68"/>
  <c r="Q68" s="1"/>
  <c r="K68"/>
  <c r="H68"/>
  <c r="E68"/>
  <c r="N67"/>
  <c r="K67"/>
  <c r="H67"/>
  <c r="E67"/>
  <c r="N66"/>
  <c r="Q66" s="1"/>
  <c r="T66" s="1"/>
  <c r="K66"/>
  <c r="H66"/>
  <c r="E66"/>
  <c r="J60"/>
  <c r="I65"/>
  <c r="F65"/>
  <c r="H65" s="1"/>
  <c r="E65"/>
  <c r="Q64"/>
  <c r="N64"/>
  <c r="K64"/>
  <c r="H64"/>
  <c r="H61" s="1"/>
  <c r="E64"/>
  <c r="T63"/>
  <c r="K63"/>
  <c r="H63"/>
  <c r="E63"/>
  <c r="T62"/>
  <c r="K62"/>
  <c r="H62"/>
  <c r="E62"/>
  <c r="N61"/>
  <c r="I61"/>
  <c r="K61" s="1"/>
  <c r="F61"/>
  <c r="D61"/>
  <c r="D84" s="1"/>
  <c r="C61"/>
  <c r="C84" s="1"/>
  <c r="G60"/>
  <c r="G52"/>
  <c r="G54" s="1"/>
  <c r="Q51"/>
  <c r="Q93" s="1"/>
  <c r="N51"/>
  <c r="N93" s="1"/>
  <c r="K51"/>
  <c r="K93" s="1"/>
  <c r="I51"/>
  <c r="I93" s="1"/>
  <c r="H51"/>
  <c r="H93" s="1"/>
  <c r="F51"/>
  <c r="F93" s="1"/>
  <c r="E51"/>
  <c r="E93" s="1"/>
  <c r="D51"/>
  <c r="D93" s="1"/>
  <c r="C51"/>
  <c r="C93" s="1"/>
  <c r="H50"/>
  <c r="G48"/>
  <c r="T48" s="1"/>
  <c r="W47"/>
  <c r="G47"/>
  <c r="T47" s="1"/>
  <c r="G46"/>
  <c r="C46"/>
  <c r="C45" s="1"/>
  <c r="Q45"/>
  <c r="R45" s="1"/>
  <c r="N45"/>
  <c r="O45" s="1"/>
  <c r="K45"/>
  <c r="J45"/>
  <c r="I45"/>
  <c r="H45"/>
  <c r="F45"/>
  <c r="E45"/>
  <c r="D45"/>
  <c r="U44"/>
  <c r="G44"/>
  <c r="T44" s="1"/>
  <c r="U43"/>
  <c r="G43"/>
  <c r="T43" s="1"/>
  <c r="G42"/>
  <c r="F42"/>
  <c r="E42"/>
  <c r="D42"/>
  <c r="C42"/>
  <c r="T41"/>
  <c r="T40"/>
  <c r="K40"/>
  <c r="H40"/>
  <c r="H49" s="1"/>
  <c r="E40"/>
  <c r="J39"/>
  <c r="I39"/>
  <c r="G39"/>
  <c r="F39"/>
  <c r="D39"/>
  <c r="C39"/>
  <c r="K38"/>
  <c r="G38"/>
  <c r="T38" s="1"/>
  <c r="E38"/>
  <c r="K37"/>
  <c r="G37"/>
  <c r="T37" s="1"/>
  <c r="E37"/>
  <c r="K36"/>
  <c r="G36"/>
  <c r="T36" s="1"/>
  <c r="E36"/>
  <c r="I35"/>
  <c r="K35" s="1"/>
  <c r="F35"/>
  <c r="D35"/>
  <c r="C35"/>
  <c r="K34"/>
  <c r="G34"/>
  <c r="T34" s="1"/>
  <c r="E34"/>
  <c r="K33"/>
  <c r="G33"/>
  <c r="T33" s="1"/>
  <c r="E33"/>
  <c r="K32"/>
  <c r="G32"/>
  <c r="T32" s="1"/>
  <c r="E32"/>
  <c r="K31"/>
  <c r="J31"/>
  <c r="I31"/>
  <c r="H31"/>
  <c r="G31"/>
  <c r="F31"/>
  <c r="E31"/>
  <c r="D31"/>
  <c r="T30"/>
  <c r="T29"/>
  <c r="T28"/>
  <c r="T27"/>
  <c r="T26"/>
  <c r="T25"/>
  <c r="T24"/>
  <c r="Q23"/>
  <c r="N23"/>
  <c r="K23"/>
  <c r="G23"/>
  <c r="E23"/>
  <c r="N22"/>
  <c r="J22"/>
  <c r="Q22" s="1"/>
  <c r="H22"/>
  <c r="E22"/>
  <c r="K21"/>
  <c r="G21"/>
  <c r="H21" s="1"/>
  <c r="E21"/>
  <c r="N20"/>
  <c r="T20" s="1"/>
  <c r="K20"/>
  <c r="H20"/>
  <c r="E20"/>
  <c r="T19"/>
  <c r="K19"/>
  <c r="H19"/>
  <c r="E19"/>
  <c r="Q18"/>
  <c r="Q11" s="1"/>
  <c r="N18"/>
  <c r="N11" s="1"/>
  <c r="K18"/>
  <c r="G18"/>
  <c r="E18"/>
  <c r="E11" s="1"/>
  <c r="E50" s="1"/>
  <c r="Q17"/>
  <c r="N17"/>
  <c r="K17"/>
  <c r="H17"/>
  <c r="E17"/>
  <c r="T16"/>
  <c r="H13"/>
  <c r="J12"/>
  <c r="J51" s="1"/>
  <c r="J11"/>
  <c r="J50" s="1"/>
  <c r="J92" s="1"/>
  <c r="I11"/>
  <c r="I50" s="1"/>
  <c r="G11"/>
  <c r="G13" s="1"/>
  <c r="F11"/>
  <c r="F50" s="1"/>
  <c r="D11"/>
  <c r="C11"/>
  <c r="J10"/>
  <c r="I10"/>
  <c r="I49" s="1"/>
  <c r="F10"/>
  <c r="F49" s="1"/>
  <c r="D10"/>
  <c r="C10"/>
  <c r="N34" i="62"/>
  <c r="N33"/>
  <c r="N32"/>
  <c r="J18"/>
  <c r="G65"/>
  <c r="G89"/>
  <c r="I91" i="64" l="1"/>
  <c r="I93" s="1"/>
  <c r="F91"/>
  <c r="F65" s="1"/>
  <c r="R66" i="66"/>
  <c r="S66" s="1"/>
  <c r="O66"/>
  <c r="P66" s="1"/>
  <c r="K111"/>
  <c r="R115"/>
  <c r="N61"/>
  <c r="P61" s="1"/>
  <c r="P17"/>
  <c r="J113"/>
  <c r="L113" s="1"/>
  <c r="L63"/>
  <c r="M70"/>
  <c r="L70"/>
  <c r="J106"/>
  <c r="L106" s="1"/>
  <c r="L104"/>
  <c r="E104"/>
  <c r="E111" s="1"/>
  <c r="U104"/>
  <c r="L58" i="68"/>
  <c r="L100" s="1"/>
  <c r="L99" s="1"/>
  <c r="T58"/>
  <c r="K61"/>
  <c r="T61" s="1"/>
  <c r="K100"/>
  <c r="T100" s="1"/>
  <c r="T101"/>
  <c r="P100"/>
  <c r="P99" s="1"/>
  <c r="P113" s="1"/>
  <c r="P95"/>
  <c r="L19"/>
  <c r="L21" s="1"/>
  <c r="K66" i="66"/>
  <c r="F111"/>
  <c r="F110" s="1"/>
  <c r="I111"/>
  <c r="I110" s="1"/>
  <c r="D106"/>
  <c r="C110"/>
  <c r="Q112"/>
  <c r="S112" s="1"/>
  <c r="M63"/>
  <c r="M113" s="1"/>
  <c r="J112"/>
  <c r="L112" s="1"/>
  <c r="M62"/>
  <c r="M112" s="1"/>
  <c r="N62"/>
  <c r="E64"/>
  <c r="E70"/>
  <c r="C64"/>
  <c r="E20"/>
  <c r="J29" i="62"/>
  <c r="M29" s="1"/>
  <c r="J29" i="65"/>
  <c r="J29" i="64"/>
  <c r="J32" i="66"/>
  <c r="F96" i="65"/>
  <c r="F95" s="1"/>
  <c r="J27" i="62"/>
  <c r="L27" s="1"/>
  <c r="J27" i="64"/>
  <c r="J27" i="65"/>
  <c r="J91" i="62"/>
  <c r="J93" s="1"/>
  <c r="K89" i="65"/>
  <c r="J47" i="62"/>
  <c r="N47" s="1"/>
  <c r="J47" i="64"/>
  <c r="J47" i="65"/>
  <c r="J26" i="62"/>
  <c r="J17" s="1"/>
  <c r="J26" i="64"/>
  <c r="J26" i="65"/>
  <c r="H106" i="66"/>
  <c r="H70" s="1"/>
  <c r="H111"/>
  <c r="H110" s="1"/>
  <c r="H91" i="64"/>
  <c r="H93" s="1"/>
  <c r="D112" i="66"/>
  <c r="U112" s="1"/>
  <c r="I70"/>
  <c r="I108"/>
  <c r="D22"/>
  <c r="U22" s="1"/>
  <c r="Q106"/>
  <c r="S106" s="1"/>
  <c r="N106"/>
  <c r="E112"/>
  <c r="D64"/>
  <c r="U64" s="1"/>
  <c r="D111"/>
  <c r="U111" s="1"/>
  <c r="N20"/>
  <c r="D61" i="65"/>
  <c r="H93"/>
  <c r="H65"/>
  <c r="C96"/>
  <c r="C95" s="1"/>
  <c r="C91"/>
  <c r="N89"/>
  <c r="E89"/>
  <c r="E96" s="1"/>
  <c r="E95" s="1"/>
  <c r="D91"/>
  <c r="D96"/>
  <c r="I93"/>
  <c r="I65"/>
  <c r="L91"/>
  <c r="L93" s="1"/>
  <c r="M91"/>
  <c r="M93" s="1"/>
  <c r="N65"/>
  <c r="E65"/>
  <c r="N97"/>
  <c r="N65" i="64"/>
  <c r="E65"/>
  <c r="C96"/>
  <c r="C95" s="1"/>
  <c r="C91"/>
  <c r="N89"/>
  <c r="E89"/>
  <c r="E96" s="1"/>
  <c r="E95" s="1"/>
  <c r="D96"/>
  <c r="D91"/>
  <c r="D61"/>
  <c r="I95"/>
  <c r="I65"/>
  <c r="L91"/>
  <c r="L93" s="1"/>
  <c r="I59"/>
  <c r="J49" i="63"/>
  <c r="J52" s="1"/>
  <c r="J54" s="1"/>
  <c r="N50"/>
  <c r="T18"/>
  <c r="E85"/>
  <c r="H52"/>
  <c r="K49"/>
  <c r="T64"/>
  <c r="F92"/>
  <c r="I84"/>
  <c r="I91" s="1"/>
  <c r="T17"/>
  <c r="G86"/>
  <c r="K85"/>
  <c r="T78"/>
  <c r="T12"/>
  <c r="T23"/>
  <c r="H84"/>
  <c r="H91" s="1"/>
  <c r="T71"/>
  <c r="E92"/>
  <c r="H33"/>
  <c r="K65"/>
  <c r="K60" s="1"/>
  <c r="H18"/>
  <c r="I92"/>
  <c r="K11"/>
  <c r="K13" s="1"/>
  <c r="K15" s="1"/>
  <c r="E39"/>
  <c r="F84"/>
  <c r="F91" s="1"/>
  <c r="C49"/>
  <c r="C91" s="1"/>
  <c r="K39"/>
  <c r="T42"/>
  <c r="T70"/>
  <c r="C13"/>
  <c r="T21"/>
  <c r="E61"/>
  <c r="Q74"/>
  <c r="T74" s="1"/>
  <c r="G91"/>
  <c r="G90" s="1"/>
  <c r="G95" s="1"/>
  <c r="E10"/>
  <c r="E13" s="1"/>
  <c r="D13"/>
  <c r="D15" s="1"/>
  <c r="N10"/>
  <c r="N49" s="1"/>
  <c r="T31"/>
  <c r="G45"/>
  <c r="T45" s="1"/>
  <c r="C60"/>
  <c r="F13"/>
  <c r="D60"/>
  <c r="E35"/>
  <c r="N84"/>
  <c r="I52"/>
  <c r="H37"/>
  <c r="H85"/>
  <c r="H92" s="1"/>
  <c r="J93"/>
  <c r="T93" s="1"/>
  <c r="T51"/>
  <c r="Q10"/>
  <c r="Q49" s="1"/>
  <c r="T22"/>
  <c r="D86"/>
  <c r="E84"/>
  <c r="T68"/>
  <c r="F52"/>
  <c r="C86"/>
  <c r="D49"/>
  <c r="D91" s="1"/>
  <c r="T39"/>
  <c r="Q73"/>
  <c r="T73" s="1"/>
  <c r="C50"/>
  <c r="C92" s="1"/>
  <c r="N60"/>
  <c r="T65"/>
  <c r="T69"/>
  <c r="T11"/>
  <c r="I13"/>
  <c r="H23"/>
  <c r="H32"/>
  <c r="H36"/>
  <c r="D50"/>
  <c r="Q50"/>
  <c r="N85"/>
  <c r="G35"/>
  <c r="J13"/>
  <c r="J15" s="1"/>
  <c r="K22"/>
  <c r="H34"/>
  <c r="H38"/>
  <c r="T61"/>
  <c r="Q67"/>
  <c r="Q75"/>
  <c r="T75" s="1"/>
  <c r="J84"/>
  <c r="T46"/>
  <c r="G90" i="62"/>
  <c r="G91" s="1"/>
  <c r="I90"/>
  <c r="H52"/>
  <c r="I52"/>
  <c r="J52"/>
  <c r="K52"/>
  <c r="N87"/>
  <c r="N81"/>
  <c r="N82"/>
  <c r="N67"/>
  <c r="N68"/>
  <c r="N48"/>
  <c r="N31"/>
  <c r="N35"/>
  <c r="N36"/>
  <c r="N37"/>
  <c r="G96"/>
  <c r="G98"/>
  <c r="H88"/>
  <c r="H87"/>
  <c r="G59"/>
  <c r="J57"/>
  <c r="L18"/>
  <c r="L57" s="1"/>
  <c r="M18"/>
  <c r="M57" s="1"/>
  <c r="M88"/>
  <c r="N88" s="1"/>
  <c r="H65" i="64" l="1"/>
  <c r="K99" i="68"/>
  <c r="N64" i="66"/>
  <c r="P64" s="1"/>
  <c r="P62"/>
  <c r="K110"/>
  <c r="N22"/>
  <c r="P22" s="1"/>
  <c r="P20"/>
  <c r="N111"/>
  <c r="P111" s="1"/>
  <c r="N108"/>
  <c r="P108" s="1"/>
  <c r="P106"/>
  <c r="E106"/>
  <c r="U106"/>
  <c r="K63" i="68"/>
  <c r="L61"/>
  <c r="D108" i="66"/>
  <c r="U108" s="1"/>
  <c r="M32"/>
  <c r="N112"/>
  <c r="E110"/>
  <c r="K27" i="65"/>
  <c r="L27"/>
  <c r="N26" i="62"/>
  <c r="K27" i="64"/>
  <c r="L27"/>
  <c r="H108" i="66"/>
  <c r="K47" i="64"/>
  <c r="K56" s="1"/>
  <c r="N47"/>
  <c r="N47" i="65"/>
  <c r="K47"/>
  <c r="K56" s="1"/>
  <c r="Q32" i="66"/>
  <c r="K26" i="65"/>
  <c r="J17"/>
  <c r="N26"/>
  <c r="K29" i="64"/>
  <c r="M29"/>
  <c r="M17" s="1"/>
  <c r="N26"/>
  <c r="K26"/>
  <c r="J17"/>
  <c r="K29" i="65"/>
  <c r="M29"/>
  <c r="M17" s="1"/>
  <c r="N29"/>
  <c r="Q84" i="63"/>
  <c r="J17" i="66"/>
  <c r="D66"/>
  <c r="D110"/>
  <c r="U110" s="1"/>
  <c r="D93" i="65"/>
  <c r="N91"/>
  <c r="E91"/>
  <c r="D95"/>
  <c r="D95" i="64"/>
  <c r="D93"/>
  <c r="N91"/>
  <c r="E91"/>
  <c r="G97" i="62"/>
  <c r="E60" i="63"/>
  <c r="F90"/>
  <c r="I90"/>
  <c r="K84"/>
  <c r="K91" s="1"/>
  <c r="I86"/>
  <c r="I60" s="1"/>
  <c r="K50"/>
  <c r="K92" s="1"/>
  <c r="N86"/>
  <c r="N88" s="1"/>
  <c r="E49"/>
  <c r="E52" s="1"/>
  <c r="N91"/>
  <c r="N13"/>
  <c r="N15" s="1"/>
  <c r="H39"/>
  <c r="N52"/>
  <c r="N54" s="1"/>
  <c r="F86"/>
  <c r="F60" s="1"/>
  <c r="H86"/>
  <c r="H60" s="1"/>
  <c r="T10"/>
  <c r="H90"/>
  <c r="T84"/>
  <c r="C90"/>
  <c r="Q85"/>
  <c r="Q92" s="1"/>
  <c r="Q60"/>
  <c r="T60" s="1"/>
  <c r="Q52"/>
  <c r="Q54" s="1"/>
  <c r="D92"/>
  <c r="T50"/>
  <c r="C52"/>
  <c r="N92"/>
  <c r="N90" s="1"/>
  <c r="N95" s="1"/>
  <c r="Q13"/>
  <c r="Q15" s="1"/>
  <c r="E86"/>
  <c r="D88"/>
  <c r="J91"/>
  <c r="J90" s="1"/>
  <c r="J95" s="1"/>
  <c r="J86"/>
  <c r="J88" s="1"/>
  <c r="H35"/>
  <c r="T35"/>
  <c r="D52"/>
  <c r="T49"/>
  <c r="Q91"/>
  <c r="T67"/>
  <c r="G95" i="62"/>
  <c r="K58"/>
  <c r="K98" s="1"/>
  <c r="L58"/>
  <c r="L98" s="1"/>
  <c r="M58"/>
  <c r="M98" s="1"/>
  <c r="J19"/>
  <c r="N19" s="1"/>
  <c r="N29"/>
  <c r="D58"/>
  <c r="E38"/>
  <c r="F38"/>
  <c r="G38"/>
  <c r="H38"/>
  <c r="I38"/>
  <c r="J38"/>
  <c r="K38"/>
  <c r="D38"/>
  <c r="M30"/>
  <c r="M17"/>
  <c r="M56" s="1"/>
  <c r="E52"/>
  <c r="F52"/>
  <c r="D52"/>
  <c r="C17"/>
  <c r="D17"/>
  <c r="F17"/>
  <c r="F56" s="1"/>
  <c r="I17"/>
  <c r="C18"/>
  <c r="D18"/>
  <c r="F18"/>
  <c r="I18"/>
  <c r="H20"/>
  <c r="E24"/>
  <c r="E25"/>
  <c r="E18" s="1"/>
  <c r="E26"/>
  <c r="E27"/>
  <c r="E28"/>
  <c r="N28"/>
  <c r="E29"/>
  <c r="E30"/>
  <c r="E39"/>
  <c r="N39"/>
  <c r="K39"/>
  <c r="E40"/>
  <c r="N40"/>
  <c r="K40"/>
  <c r="E41"/>
  <c r="N41"/>
  <c r="K41"/>
  <c r="C42"/>
  <c r="D42"/>
  <c r="F42"/>
  <c r="I42"/>
  <c r="E43"/>
  <c r="K43"/>
  <c r="E44"/>
  <c r="K44"/>
  <c r="E45"/>
  <c r="K45"/>
  <c r="C46"/>
  <c r="D46"/>
  <c r="F46"/>
  <c r="I46"/>
  <c r="J46"/>
  <c r="E47"/>
  <c r="K47"/>
  <c r="N54"/>
  <c r="N55"/>
  <c r="N50"/>
  <c r="N29" i="64" l="1"/>
  <c r="K104" i="68"/>
  <c r="T99"/>
  <c r="N110" i="66"/>
  <c r="P112"/>
  <c r="L17"/>
  <c r="M17"/>
  <c r="K115"/>
  <c r="Q17"/>
  <c r="S17" s="1"/>
  <c r="S32"/>
  <c r="N124"/>
  <c r="P110"/>
  <c r="J61"/>
  <c r="L61" s="1"/>
  <c r="J20"/>
  <c r="L17" i="64"/>
  <c r="N17" s="1"/>
  <c r="N27"/>
  <c r="M56"/>
  <c r="M20"/>
  <c r="M22" s="1"/>
  <c r="K59" i="65"/>
  <c r="K96"/>
  <c r="K95" s="1"/>
  <c r="M20"/>
  <c r="M22" s="1"/>
  <c r="M56"/>
  <c r="J56"/>
  <c r="J20"/>
  <c r="K59" i="64"/>
  <c r="K96"/>
  <c r="K95" s="1"/>
  <c r="L17" i="65"/>
  <c r="N27"/>
  <c r="J56" i="64"/>
  <c r="J20"/>
  <c r="I88" i="63"/>
  <c r="K90"/>
  <c r="K52"/>
  <c r="E91"/>
  <c r="E90" s="1"/>
  <c r="H88"/>
  <c r="Q86"/>
  <c r="Q88" s="1"/>
  <c r="T88" s="1"/>
  <c r="T85"/>
  <c r="Q90"/>
  <c r="Q95" s="1"/>
  <c r="T92"/>
  <c r="T13"/>
  <c r="D90"/>
  <c r="D54"/>
  <c r="T52"/>
  <c r="T91"/>
  <c r="N38" i="62"/>
  <c r="N52"/>
  <c r="N53"/>
  <c r="J58"/>
  <c r="J98" s="1"/>
  <c r="H28"/>
  <c r="H27"/>
  <c r="D57"/>
  <c r="N57" s="1"/>
  <c r="H39"/>
  <c r="H29"/>
  <c r="H40"/>
  <c r="D56"/>
  <c r="J20"/>
  <c r="J22" s="1"/>
  <c r="G42"/>
  <c r="N42" s="1"/>
  <c r="C20"/>
  <c r="K42"/>
  <c r="E42"/>
  <c r="I20"/>
  <c r="F20"/>
  <c r="K46"/>
  <c r="D20"/>
  <c r="E46"/>
  <c r="E17"/>
  <c r="K27"/>
  <c r="H47"/>
  <c r="H41"/>
  <c r="K28"/>
  <c r="Q20" i="66" l="1"/>
  <c r="Q61"/>
  <c r="S61" s="1"/>
  <c r="M20"/>
  <c r="M22" s="1"/>
  <c r="L20"/>
  <c r="J64"/>
  <c r="L64" s="1"/>
  <c r="M61"/>
  <c r="M111" s="1"/>
  <c r="M110" s="1"/>
  <c r="J22" i="64"/>
  <c r="J59"/>
  <c r="J96"/>
  <c r="M59"/>
  <c r="M61" s="1"/>
  <c r="M96"/>
  <c r="M95" s="1"/>
  <c r="M59" i="65"/>
  <c r="M61" s="1"/>
  <c r="M96"/>
  <c r="M95" s="1"/>
  <c r="Q64" i="66"/>
  <c r="S64" s="1"/>
  <c r="J96" i="65"/>
  <c r="J59"/>
  <c r="L20" i="64"/>
  <c r="L22" s="1"/>
  <c r="L56"/>
  <c r="N17" i="65"/>
  <c r="L56"/>
  <c r="N56" s="1"/>
  <c r="L20"/>
  <c r="L22" s="1"/>
  <c r="J22" i="66"/>
  <c r="J22" i="65"/>
  <c r="N20"/>
  <c r="J111" i="66"/>
  <c r="L111" s="1"/>
  <c r="T90" i="63"/>
  <c r="T86"/>
  <c r="N58" i="62"/>
  <c r="M20"/>
  <c r="M22" s="1"/>
  <c r="D22"/>
  <c r="M59"/>
  <c r="M61" s="1"/>
  <c r="E20"/>
  <c r="E56"/>
  <c r="K29"/>
  <c r="N43"/>
  <c r="N44"/>
  <c r="N45"/>
  <c r="N25"/>
  <c r="N24"/>
  <c r="O51"/>
  <c r="Q111" i="66" l="1"/>
  <c r="S111" s="1"/>
  <c r="Q22"/>
  <c r="S22" s="1"/>
  <c r="S20"/>
  <c r="M64"/>
  <c r="M100" i="65"/>
  <c r="M109"/>
  <c r="M106" i="64"/>
  <c r="M100"/>
  <c r="J61" i="65"/>
  <c r="L59" i="64"/>
  <c r="L61" s="1"/>
  <c r="L96"/>
  <c r="L95" s="1"/>
  <c r="J95" i="65"/>
  <c r="J95" i="64"/>
  <c r="N56"/>
  <c r="J61"/>
  <c r="J110" i="66"/>
  <c r="L110" s="1"/>
  <c r="N20" i="64"/>
  <c r="L96" i="65"/>
  <c r="L95" s="1"/>
  <c r="L59"/>
  <c r="L61" s="1"/>
  <c r="N27" i="62"/>
  <c r="H25"/>
  <c r="H42"/>
  <c r="H44"/>
  <c r="H43"/>
  <c r="H58"/>
  <c r="H98" s="1"/>
  <c r="H45"/>
  <c r="H24"/>
  <c r="H30"/>
  <c r="H26"/>
  <c r="K93"/>
  <c r="F90"/>
  <c r="D90"/>
  <c r="C90"/>
  <c r="H86"/>
  <c r="K85"/>
  <c r="H85"/>
  <c r="H84"/>
  <c r="E84"/>
  <c r="H83"/>
  <c r="E83"/>
  <c r="K82"/>
  <c r="H82"/>
  <c r="E82"/>
  <c r="K81"/>
  <c r="H81"/>
  <c r="E81"/>
  <c r="H80"/>
  <c r="E80"/>
  <c r="H79"/>
  <c r="E79"/>
  <c r="H78"/>
  <c r="E78"/>
  <c r="H77"/>
  <c r="E77"/>
  <c r="N76"/>
  <c r="H76"/>
  <c r="E76"/>
  <c r="N75"/>
  <c r="H75"/>
  <c r="E75"/>
  <c r="H74"/>
  <c r="E74"/>
  <c r="H73"/>
  <c r="E73"/>
  <c r="H72"/>
  <c r="E72"/>
  <c r="H71"/>
  <c r="E71"/>
  <c r="I70"/>
  <c r="F70"/>
  <c r="E70"/>
  <c r="N69"/>
  <c r="H69"/>
  <c r="H66" s="1"/>
  <c r="E69"/>
  <c r="K68"/>
  <c r="H68"/>
  <c r="E68"/>
  <c r="H67"/>
  <c r="E67"/>
  <c r="I66"/>
  <c r="F66"/>
  <c r="D66"/>
  <c r="C66"/>
  <c r="C65" s="1"/>
  <c r="F58"/>
  <c r="F98" s="1"/>
  <c r="C58"/>
  <c r="C98" s="1"/>
  <c r="C53"/>
  <c r="C52" s="1"/>
  <c r="K56"/>
  <c r="O50"/>
  <c r="F49"/>
  <c r="E49"/>
  <c r="D49"/>
  <c r="N49" s="1"/>
  <c r="C49"/>
  <c r="I58"/>
  <c r="I98" s="1"/>
  <c r="E58"/>
  <c r="E98" s="1"/>
  <c r="F57"/>
  <c r="Q110" i="66" l="1"/>
  <c r="L100" i="65"/>
  <c r="L109"/>
  <c r="L100" i="64"/>
  <c r="L106"/>
  <c r="N59"/>
  <c r="N59" i="65"/>
  <c r="N96" i="64"/>
  <c r="J100"/>
  <c r="N95"/>
  <c r="N96" i="65"/>
  <c r="J100"/>
  <c r="N95"/>
  <c r="N66" i="62"/>
  <c r="I89"/>
  <c r="I91" s="1"/>
  <c r="N70"/>
  <c r="H90"/>
  <c r="J56"/>
  <c r="J65"/>
  <c r="N84"/>
  <c r="N79"/>
  <c r="N71"/>
  <c r="N80"/>
  <c r="N72"/>
  <c r="N73"/>
  <c r="H46"/>
  <c r="K30"/>
  <c r="L30"/>
  <c r="L17" s="1"/>
  <c r="K24"/>
  <c r="K25"/>
  <c r="K18" s="1"/>
  <c r="K26"/>
  <c r="E90"/>
  <c r="D89"/>
  <c r="F97"/>
  <c r="K70"/>
  <c r="I57"/>
  <c r="I97" s="1"/>
  <c r="I56"/>
  <c r="K66"/>
  <c r="L86"/>
  <c r="N86" s="1"/>
  <c r="H70"/>
  <c r="H89" s="1"/>
  <c r="K84"/>
  <c r="F89"/>
  <c r="F91" s="1"/>
  <c r="F65" s="1"/>
  <c r="K74"/>
  <c r="N83"/>
  <c r="L85"/>
  <c r="N85" s="1"/>
  <c r="K69"/>
  <c r="K78"/>
  <c r="K73"/>
  <c r="C56"/>
  <c r="D65"/>
  <c r="K77"/>
  <c r="H57"/>
  <c r="D59"/>
  <c r="D97"/>
  <c r="E57"/>
  <c r="H56"/>
  <c r="F59"/>
  <c r="C57"/>
  <c r="C97" s="1"/>
  <c r="E66"/>
  <c r="K72"/>
  <c r="K76"/>
  <c r="K80"/>
  <c r="K83"/>
  <c r="K86"/>
  <c r="K67"/>
  <c r="K71"/>
  <c r="K75"/>
  <c r="K79"/>
  <c r="C89"/>
  <c r="D98"/>
  <c r="N98" s="1"/>
  <c r="S110" i="66" l="1"/>
  <c r="Q124"/>
  <c r="I96" i="62"/>
  <c r="I95" s="1"/>
  <c r="L20"/>
  <c r="L56"/>
  <c r="N56" s="1"/>
  <c r="J59"/>
  <c r="H96"/>
  <c r="G20"/>
  <c r="N18"/>
  <c r="H97"/>
  <c r="H91"/>
  <c r="H65" s="1"/>
  <c r="N30"/>
  <c r="D96"/>
  <c r="D95" s="1"/>
  <c r="L90"/>
  <c r="L97" s="1"/>
  <c r="L103" s="1"/>
  <c r="K57"/>
  <c r="K20"/>
  <c r="K22" s="1"/>
  <c r="K90"/>
  <c r="L89"/>
  <c r="L65"/>
  <c r="K65"/>
  <c r="K89"/>
  <c r="K96" s="1"/>
  <c r="N78"/>
  <c r="N77"/>
  <c r="N74"/>
  <c r="J97"/>
  <c r="N23"/>
  <c r="E97"/>
  <c r="E89"/>
  <c r="E96" s="1"/>
  <c r="D91"/>
  <c r="D93" s="1"/>
  <c r="I59"/>
  <c r="E65"/>
  <c r="C59"/>
  <c r="H59"/>
  <c r="F96"/>
  <c r="F95" s="1"/>
  <c r="E59"/>
  <c r="D61"/>
  <c r="C91"/>
  <c r="C96"/>
  <c r="C95" s="1"/>
  <c r="I93"/>
  <c r="I65"/>
  <c r="D70" i="53"/>
  <c r="C70"/>
  <c r="C90" s="1"/>
  <c r="D28"/>
  <c r="G28"/>
  <c r="J28"/>
  <c r="K28"/>
  <c r="D29"/>
  <c r="K29"/>
  <c r="D30"/>
  <c r="G30"/>
  <c r="J30"/>
  <c r="K30"/>
  <c r="D31"/>
  <c r="G31"/>
  <c r="J31"/>
  <c r="K31"/>
  <c r="D32"/>
  <c r="G32"/>
  <c r="J32"/>
  <c r="K32"/>
  <c r="D33"/>
  <c r="G33"/>
  <c r="J33"/>
  <c r="K33"/>
  <c r="D11"/>
  <c r="D12"/>
  <c r="D62" s="1"/>
  <c r="C11"/>
  <c r="D63"/>
  <c r="D56"/>
  <c r="D50"/>
  <c r="D45"/>
  <c r="E45"/>
  <c r="F45"/>
  <c r="H45"/>
  <c r="I45"/>
  <c r="D44"/>
  <c r="D43"/>
  <c r="C43"/>
  <c r="D54"/>
  <c r="E54"/>
  <c r="F54"/>
  <c r="H54"/>
  <c r="I54"/>
  <c r="C63"/>
  <c r="C95" s="1"/>
  <c r="C56"/>
  <c r="C54"/>
  <c r="C50"/>
  <c r="C44"/>
  <c r="C45"/>
  <c r="C12"/>
  <c r="C62" s="1"/>
  <c r="C94" s="1"/>
  <c r="H95" i="62" l="1"/>
  <c r="L96"/>
  <c r="H93"/>
  <c r="M90"/>
  <c r="M97" s="1"/>
  <c r="M103" s="1"/>
  <c r="N17"/>
  <c r="K59"/>
  <c r="K97"/>
  <c r="K95" s="1"/>
  <c r="M89"/>
  <c r="M96" s="1"/>
  <c r="M65"/>
  <c r="N65" s="1"/>
  <c r="L59"/>
  <c r="E91"/>
  <c r="E95"/>
  <c r="D46" i="53"/>
  <c r="L91" i="62"/>
  <c r="C61" i="53"/>
  <c r="C64" s="1"/>
  <c r="D61"/>
  <c r="D64" s="1"/>
  <c r="D14"/>
  <c r="C91"/>
  <c r="C46"/>
  <c r="C14"/>
  <c r="N59" i="62" l="1"/>
  <c r="L61"/>
  <c r="N20"/>
  <c r="L22"/>
  <c r="N89"/>
  <c r="N97"/>
  <c r="N90"/>
  <c r="M95"/>
  <c r="M100" s="1"/>
  <c r="L95"/>
  <c r="L100" s="1"/>
  <c r="M91"/>
  <c r="L93"/>
  <c r="C92" i="53"/>
  <c r="C93"/>
  <c r="N91" i="62" l="1"/>
  <c r="M93"/>
  <c r="N94" i="59"/>
  <c r="I94"/>
  <c r="M69"/>
  <c r="K92"/>
  <c r="J93"/>
  <c r="K93"/>
  <c r="L93"/>
  <c r="M93"/>
  <c r="H93"/>
  <c r="I93" s="1"/>
  <c r="F91"/>
  <c r="G91"/>
  <c r="I76"/>
  <c r="I77"/>
  <c r="I78"/>
  <c r="I79"/>
  <c r="I80"/>
  <c r="I81"/>
  <c r="I82"/>
  <c r="I83"/>
  <c r="I84"/>
  <c r="I85"/>
  <c r="I86"/>
  <c r="I87"/>
  <c r="I88"/>
  <c r="I75"/>
  <c r="F70"/>
  <c r="G70"/>
  <c r="H70"/>
  <c r="M70" s="1"/>
  <c r="M92" s="1"/>
  <c r="J96" i="62" l="1"/>
  <c r="J95" s="1"/>
  <c r="J100" s="1"/>
  <c r="J61"/>
  <c r="K91" i="59"/>
  <c r="H92"/>
  <c r="H91" s="1"/>
  <c r="N93"/>
  <c r="M91"/>
  <c r="N95" i="62" l="1"/>
  <c r="N96"/>
  <c r="M56" i="59"/>
  <c r="N56" s="1"/>
  <c r="I73"/>
  <c r="I71"/>
  <c r="I72"/>
  <c r="I57"/>
  <c r="I58"/>
  <c r="I60"/>
  <c r="H10"/>
  <c r="N47"/>
  <c r="N48"/>
  <c r="N49"/>
  <c r="N51"/>
  <c r="N52"/>
  <c r="N53"/>
  <c r="N65"/>
  <c r="N71"/>
  <c r="N72"/>
  <c r="N73"/>
  <c r="N89"/>
  <c r="N90"/>
  <c r="M62"/>
  <c r="M98" s="1"/>
  <c r="M63"/>
  <c r="M99" s="1"/>
  <c r="K13"/>
  <c r="M12"/>
  <c r="N12" s="1"/>
  <c r="M14"/>
  <c r="N14" s="1"/>
  <c r="M15"/>
  <c r="M16"/>
  <c r="N16" s="1"/>
  <c r="M17"/>
  <c r="N17" s="1"/>
  <c r="M18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2"/>
  <c r="N42" s="1"/>
  <c r="M57"/>
  <c r="N57" s="1"/>
  <c r="M58"/>
  <c r="N58" s="1"/>
  <c r="M59"/>
  <c r="M60"/>
  <c r="N60" s="1"/>
  <c r="F11"/>
  <c r="H11"/>
  <c r="F10"/>
  <c r="E63"/>
  <c r="E99" s="1"/>
  <c r="H55"/>
  <c r="H51"/>
  <c r="I51" s="1"/>
  <c r="H52"/>
  <c r="I52" s="1"/>
  <c r="H53"/>
  <c r="I53" s="1"/>
  <c r="H49"/>
  <c r="I49" s="1"/>
  <c r="H48"/>
  <c r="I48" s="1"/>
  <c r="H47"/>
  <c r="I47" s="1"/>
  <c r="H44"/>
  <c r="I44" s="1"/>
  <c r="H45"/>
  <c r="I42"/>
  <c r="I40"/>
  <c r="I41"/>
  <c r="I38"/>
  <c r="I39"/>
  <c r="I33"/>
  <c r="I34"/>
  <c r="I35"/>
  <c r="I36"/>
  <c r="I37"/>
  <c r="I32"/>
  <c r="I31"/>
  <c r="I30"/>
  <c r="I29"/>
  <c r="I28"/>
  <c r="I27"/>
  <c r="I19"/>
  <c r="I20"/>
  <c r="I21"/>
  <c r="I22"/>
  <c r="I23"/>
  <c r="I24"/>
  <c r="I25"/>
  <c r="I26"/>
  <c r="I18"/>
  <c r="L74"/>
  <c r="K74"/>
  <c r="J74"/>
  <c r="N74" s="1"/>
  <c r="G74"/>
  <c r="F74"/>
  <c r="E74"/>
  <c r="I74" s="1"/>
  <c r="D74"/>
  <c r="L73"/>
  <c r="G72"/>
  <c r="D72"/>
  <c r="D70" s="1"/>
  <c r="G71"/>
  <c r="J70"/>
  <c r="F69"/>
  <c r="E70"/>
  <c r="E69" s="1"/>
  <c r="E92" s="1"/>
  <c r="C70"/>
  <c r="C69" s="1"/>
  <c r="D64"/>
  <c r="D63"/>
  <c r="D61"/>
  <c r="L59"/>
  <c r="K59"/>
  <c r="J59"/>
  <c r="G59"/>
  <c r="F59"/>
  <c r="E59"/>
  <c r="I59" s="1"/>
  <c r="D59"/>
  <c r="C59"/>
  <c r="L55"/>
  <c r="G55"/>
  <c r="K54"/>
  <c r="J54"/>
  <c r="N54" s="1"/>
  <c r="F54"/>
  <c r="E54"/>
  <c r="H54" s="1"/>
  <c r="I54" s="1"/>
  <c r="C54"/>
  <c r="L53"/>
  <c r="L52"/>
  <c r="G52"/>
  <c r="D52"/>
  <c r="L51"/>
  <c r="G51"/>
  <c r="K50"/>
  <c r="J50"/>
  <c r="N50" s="1"/>
  <c r="F50"/>
  <c r="E50"/>
  <c r="H50" s="1"/>
  <c r="I50" s="1"/>
  <c r="C50"/>
  <c r="L49"/>
  <c r="G49"/>
  <c r="L48"/>
  <c r="G48"/>
  <c r="D48"/>
  <c r="L47"/>
  <c r="G47"/>
  <c r="K45"/>
  <c r="K63" s="1"/>
  <c r="K99" s="1"/>
  <c r="J45"/>
  <c r="J63" s="1"/>
  <c r="J99" s="1"/>
  <c r="F45"/>
  <c r="G45" s="1"/>
  <c r="G63" s="1"/>
  <c r="G99" s="1"/>
  <c r="C45"/>
  <c r="K44"/>
  <c r="K62" s="1"/>
  <c r="K98" s="1"/>
  <c r="J44"/>
  <c r="N44" s="1"/>
  <c r="F44"/>
  <c r="G44" s="1"/>
  <c r="C44"/>
  <c r="D44" s="1"/>
  <c r="K43"/>
  <c r="K61" s="1"/>
  <c r="J43"/>
  <c r="N43" s="1"/>
  <c r="F43"/>
  <c r="E43"/>
  <c r="E46" s="1"/>
  <c r="H46" s="1"/>
  <c r="I46" s="1"/>
  <c r="C43"/>
  <c r="L40"/>
  <c r="G40"/>
  <c r="L39"/>
  <c r="G39"/>
  <c r="D39"/>
  <c r="L38"/>
  <c r="G38"/>
  <c r="L37"/>
  <c r="G37"/>
  <c r="L35"/>
  <c r="G35"/>
  <c r="L34"/>
  <c r="G34"/>
  <c r="L33"/>
  <c r="G33"/>
  <c r="L32"/>
  <c r="G32"/>
  <c r="D32"/>
  <c r="L31"/>
  <c r="G31"/>
  <c r="L30"/>
  <c r="G30"/>
  <c r="D30"/>
  <c r="L29"/>
  <c r="G29"/>
  <c r="L27"/>
  <c r="G27"/>
  <c r="L26"/>
  <c r="G26"/>
  <c r="L25"/>
  <c r="G25"/>
  <c r="D25"/>
  <c r="L23"/>
  <c r="G23"/>
  <c r="D23"/>
  <c r="L22"/>
  <c r="G22"/>
  <c r="L21"/>
  <c r="G21"/>
  <c r="D21"/>
  <c r="L19"/>
  <c r="G19"/>
  <c r="D19"/>
  <c r="D18"/>
  <c r="J15"/>
  <c r="N15" s="1"/>
  <c r="E15"/>
  <c r="C13"/>
  <c r="L12"/>
  <c r="D12"/>
  <c r="J11"/>
  <c r="L11" s="1"/>
  <c r="E11"/>
  <c r="E62" s="1"/>
  <c r="E98" s="1"/>
  <c r="D11"/>
  <c r="J10"/>
  <c r="J61" s="1"/>
  <c r="E10"/>
  <c r="D10"/>
  <c r="G34" i="53"/>
  <c r="J34"/>
  <c r="K34"/>
  <c r="K40"/>
  <c r="J40"/>
  <c r="G40"/>
  <c r="D40"/>
  <c r="K39"/>
  <c r="J39"/>
  <c r="G39"/>
  <c r="D39"/>
  <c r="K38"/>
  <c r="J38"/>
  <c r="G38"/>
  <c r="D38"/>
  <c r="K37"/>
  <c r="J37"/>
  <c r="G37"/>
  <c r="D37"/>
  <c r="K25"/>
  <c r="D25"/>
  <c r="K24"/>
  <c r="J24"/>
  <c r="G24"/>
  <c r="D24"/>
  <c r="K23"/>
  <c r="J23"/>
  <c r="G23"/>
  <c r="D23"/>
  <c r="K22"/>
  <c r="J22"/>
  <c r="G22"/>
  <c r="D22"/>
  <c r="K21"/>
  <c r="D21"/>
  <c r="K20"/>
  <c r="J20"/>
  <c r="G20"/>
  <c r="D20"/>
  <c r="K19"/>
  <c r="D19"/>
  <c r="E91" i="59" l="1"/>
  <c r="I91" s="1"/>
  <c r="I92"/>
  <c r="N99"/>
  <c r="K97"/>
  <c r="K96" s="1"/>
  <c r="L70"/>
  <c r="L92" s="1"/>
  <c r="J69"/>
  <c r="J92"/>
  <c r="E13"/>
  <c r="I56"/>
  <c r="G10"/>
  <c r="N59"/>
  <c r="I70"/>
  <c r="F13"/>
  <c r="M10"/>
  <c r="M13" s="1"/>
  <c r="G11"/>
  <c r="G62" s="1"/>
  <c r="G98" s="1"/>
  <c r="I45"/>
  <c r="H63"/>
  <c r="H99" s="1"/>
  <c r="I99" s="1"/>
  <c r="J62"/>
  <c r="J98" s="1"/>
  <c r="N98" s="1"/>
  <c r="N63"/>
  <c r="N45"/>
  <c r="N11"/>
  <c r="I55"/>
  <c r="H13"/>
  <c r="H64" s="1"/>
  <c r="J13"/>
  <c r="M55"/>
  <c r="N55" s="1"/>
  <c r="N18"/>
  <c r="I69"/>
  <c r="N70"/>
  <c r="H43"/>
  <c r="I43" s="1"/>
  <c r="H62"/>
  <c r="H98" s="1"/>
  <c r="I98" s="1"/>
  <c r="F62"/>
  <c r="F98" s="1"/>
  <c r="F63"/>
  <c r="F99" s="1"/>
  <c r="F61"/>
  <c r="F97" s="1"/>
  <c r="I10"/>
  <c r="I11"/>
  <c r="G43"/>
  <c r="G69"/>
  <c r="D43"/>
  <c r="D13"/>
  <c r="G54"/>
  <c r="L50"/>
  <c r="D27"/>
  <c r="D45"/>
  <c r="D37"/>
  <c r="C46"/>
  <c r="D46" s="1"/>
  <c r="D29"/>
  <c r="D31"/>
  <c r="D33"/>
  <c r="J46"/>
  <c r="N46" s="1"/>
  <c r="G50"/>
  <c r="D71"/>
  <c r="D69" s="1"/>
  <c r="K46"/>
  <c r="K64" s="1"/>
  <c r="D22"/>
  <c r="L45"/>
  <c r="L63" s="1"/>
  <c r="L99" s="1"/>
  <c r="L54"/>
  <c r="D34"/>
  <c r="D38"/>
  <c r="D47"/>
  <c r="D55"/>
  <c r="D62"/>
  <c r="L43"/>
  <c r="F46"/>
  <c r="G46" s="1"/>
  <c r="D51"/>
  <c r="D54" s="1"/>
  <c r="D98"/>
  <c r="L10"/>
  <c r="D26"/>
  <c r="D40"/>
  <c r="L44"/>
  <c r="L62" s="1"/>
  <c r="L98" s="1"/>
  <c r="D49"/>
  <c r="E61"/>
  <c r="E97" s="1"/>
  <c r="E96" s="1"/>
  <c r="D28"/>
  <c r="J91" l="1"/>
  <c r="N91" s="1"/>
  <c r="J97"/>
  <c r="J96" s="1"/>
  <c r="N92"/>
  <c r="L91"/>
  <c r="F96"/>
  <c r="N62"/>
  <c r="N10"/>
  <c r="J64"/>
  <c r="G13"/>
  <c r="G64" s="1"/>
  <c r="L69"/>
  <c r="I62"/>
  <c r="M61"/>
  <c r="M97" s="1"/>
  <c r="L13"/>
  <c r="L61"/>
  <c r="N69"/>
  <c r="I63"/>
  <c r="H61"/>
  <c r="H97" s="1"/>
  <c r="M64"/>
  <c r="N13"/>
  <c r="E64"/>
  <c r="I64" s="1"/>
  <c r="F64"/>
  <c r="G61"/>
  <c r="G97" s="1"/>
  <c r="G96" s="1"/>
  <c r="I13"/>
  <c r="L46"/>
  <c r="D50"/>
  <c r="D99"/>
  <c r="H96" l="1"/>
  <c r="I96" s="1"/>
  <c r="I97"/>
  <c r="N97"/>
  <c r="L97"/>
  <c r="L96" s="1"/>
  <c r="N61"/>
  <c r="M96"/>
  <c r="I61"/>
  <c r="L64"/>
  <c r="N64"/>
  <c r="N96" l="1"/>
  <c r="J74" i="53" l="1"/>
  <c r="K74"/>
  <c r="G89"/>
  <c r="J89"/>
  <c r="K89"/>
  <c r="K88"/>
  <c r="J88"/>
  <c r="G88"/>
  <c r="K78"/>
  <c r="F92"/>
  <c r="I92"/>
  <c r="C74" i="59" l="1"/>
  <c r="O14" i="53" l="1"/>
  <c r="D97" i="59"/>
  <c r="D96" l="1"/>
  <c r="K73" i="53" l="1"/>
  <c r="J73"/>
  <c r="G73"/>
  <c r="K72"/>
  <c r="J72"/>
  <c r="G72"/>
  <c r="J71"/>
  <c r="G71"/>
  <c r="H70"/>
  <c r="J70" s="1"/>
  <c r="E70"/>
  <c r="G70" s="1"/>
  <c r="K55"/>
  <c r="J55"/>
  <c r="G55"/>
  <c r="K53"/>
  <c r="J53"/>
  <c r="K52"/>
  <c r="J52"/>
  <c r="G52"/>
  <c r="K51"/>
  <c r="J51"/>
  <c r="G51"/>
  <c r="I50"/>
  <c r="H50"/>
  <c r="F50"/>
  <c r="E50"/>
  <c r="K49"/>
  <c r="J49"/>
  <c r="G49"/>
  <c r="G45" s="1"/>
  <c r="K48"/>
  <c r="J48"/>
  <c r="G48"/>
  <c r="K47"/>
  <c r="J47"/>
  <c r="G47"/>
  <c r="H63"/>
  <c r="E63"/>
  <c r="I44"/>
  <c r="H44"/>
  <c r="F44"/>
  <c r="E44"/>
  <c r="I43"/>
  <c r="H43"/>
  <c r="F43"/>
  <c r="E43"/>
  <c r="K41"/>
  <c r="J41"/>
  <c r="G41"/>
  <c r="K87"/>
  <c r="J87"/>
  <c r="G87"/>
  <c r="K86"/>
  <c r="J86"/>
  <c r="G86"/>
  <c r="K36"/>
  <c r="J36"/>
  <c r="G36"/>
  <c r="K35"/>
  <c r="J35"/>
  <c r="G35"/>
  <c r="K83"/>
  <c r="J83"/>
  <c r="G83"/>
  <c r="K82"/>
  <c r="J82"/>
  <c r="G82"/>
  <c r="K85"/>
  <c r="J85"/>
  <c r="G85"/>
  <c r="K84"/>
  <c r="J84"/>
  <c r="G84"/>
  <c r="K27"/>
  <c r="J27"/>
  <c r="G27"/>
  <c r="K26"/>
  <c r="J26"/>
  <c r="G26"/>
  <c r="K77"/>
  <c r="J77"/>
  <c r="G77"/>
  <c r="K76"/>
  <c r="J76"/>
  <c r="G76"/>
  <c r="K81"/>
  <c r="J81"/>
  <c r="G81"/>
  <c r="K80"/>
  <c r="K79"/>
  <c r="J79"/>
  <c r="G79"/>
  <c r="K18"/>
  <c r="K17"/>
  <c r="H16"/>
  <c r="E16"/>
  <c r="I14"/>
  <c r="F14"/>
  <c r="K13"/>
  <c r="J13"/>
  <c r="G13"/>
  <c r="H12"/>
  <c r="E12"/>
  <c r="H11"/>
  <c r="J11" s="1"/>
  <c r="E11"/>
  <c r="J45" l="1"/>
  <c r="K45"/>
  <c r="K54"/>
  <c r="G54"/>
  <c r="J54"/>
  <c r="D90"/>
  <c r="H62"/>
  <c r="H94" s="1"/>
  <c r="J94" s="1"/>
  <c r="E61"/>
  <c r="G61" s="1"/>
  <c r="K71"/>
  <c r="K70" s="1"/>
  <c r="J44"/>
  <c r="J43"/>
  <c r="E14"/>
  <c r="G14" s="1"/>
  <c r="F46"/>
  <c r="G12"/>
  <c r="E46"/>
  <c r="I46"/>
  <c r="J50"/>
  <c r="G11"/>
  <c r="E62"/>
  <c r="E94" s="1"/>
  <c r="G94" s="1"/>
  <c r="K43"/>
  <c r="J12"/>
  <c r="G50"/>
  <c r="E90"/>
  <c r="E91" s="1"/>
  <c r="H90"/>
  <c r="J63"/>
  <c r="H95"/>
  <c r="J95" s="1"/>
  <c r="D95"/>
  <c r="K63"/>
  <c r="G63"/>
  <c r="E95"/>
  <c r="G95" s="1"/>
  <c r="K44"/>
  <c r="G43"/>
  <c r="K12"/>
  <c r="K11"/>
  <c r="H61"/>
  <c r="H14"/>
  <c r="G44"/>
  <c r="H46"/>
  <c r="J62" l="1"/>
  <c r="D94"/>
  <c r="D91"/>
  <c r="G91"/>
  <c r="E64"/>
  <c r="G64" s="1"/>
  <c r="J46"/>
  <c r="G62"/>
  <c r="G46"/>
  <c r="J90"/>
  <c r="H91"/>
  <c r="G90"/>
  <c r="E93"/>
  <c r="G93" s="1"/>
  <c r="K90"/>
  <c r="K91" s="1"/>
  <c r="K95"/>
  <c r="K46"/>
  <c r="H93"/>
  <c r="J93" s="1"/>
  <c r="J61"/>
  <c r="K61"/>
  <c r="K14"/>
  <c r="J14"/>
  <c r="H64"/>
  <c r="K62"/>
  <c r="K94" s="1"/>
  <c r="D93" l="1"/>
  <c r="E92"/>
  <c r="J91"/>
  <c r="H92"/>
  <c r="G92"/>
  <c r="J64"/>
  <c r="K64"/>
  <c r="K92" s="1"/>
  <c r="K93"/>
  <c r="D92" l="1"/>
  <c r="J92"/>
  <c r="N46" i="62" l="1"/>
  <c r="G61" l="1"/>
</calcChain>
</file>

<file path=xl/sharedStrings.xml><?xml version="1.0" encoding="utf-8"?>
<sst xmlns="http://schemas.openxmlformats.org/spreadsheetml/2006/main" count="1465" uniqueCount="236">
  <si>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</si>
  <si>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</si>
  <si>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</si>
  <si>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</si>
  <si>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</si>
  <si>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</si>
  <si>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</si>
  <si>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</si>
  <si>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</si>
  <si>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</si>
  <si>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</si>
  <si>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</si>
  <si>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</si>
  <si>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</si>
  <si>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</si>
  <si>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</si>
  <si>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>1.5</t>
  </si>
  <si>
    <t>1.6</t>
  </si>
  <si>
    <t>1.7</t>
  </si>
  <si>
    <t>1.8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</si>
  <si>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</si>
  <si>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</si>
  <si>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</si>
  <si>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</si>
  <si>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Всего по программе:</t>
  </si>
  <si>
    <t>Федеральный бюджет: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</si>
  <si>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</si>
  <si>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</si>
  <si>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</si>
  <si>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1.10</t>
  </si>
  <si>
    <t>1.11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</si>
  <si>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</si>
  <si>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</si>
  <si>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1.12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</si>
  <si>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</si>
  <si>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</si>
  <si>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</si>
  <si>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</si>
  <si>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</si>
  <si>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</si>
  <si>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1.13</t>
  </si>
  <si>
    <t>Субсидия на подготовку и участие в соревнованиях, включенных в единый областной календарный план (2905)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</si>
  <si>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</si>
  <si>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</si>
  <si>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</si>
  <si>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</si>
  <si>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ПРИЛОЖЕНИЕ 1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</si>
  <si>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2914</t>
  </si>
  <si>
    <t>2.1</t>
  </si>
  <si>
    <t>тыс. руб.</t>
  </si>
  <si>
    <t xml:space="preserve">Задача: Создание условий для оказания услуг физической культуры и спорта.
</t>
  </si>
  <si>
    <t xml:space="preserve">Основное мероприятие "Управление в сфере установления функций органов местного самоуправления" </t>
  </si>
  <si>
    <t xml:space="preserve"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спортом. 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</si>
  <si>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</si>
  <si>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4.1</t>
  </si>
  <si>
    <t>4.2</t>
  </si>
  <si>
    <t>Цель: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</t>
  </si>
  <si>
    <t>4.3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</si>
  <si>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</si>
  <si>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Государственная поддержка организаций, входящих в систему спортивной подготовки</t>
  </si>
  <si>
    <t>итого Государственная поддержка организаций, входящих в систему спортивной подготовки</t>
  </si>
  <si>
    <t>2.2</t>
  </si>
  <si>
    <t xml:space="preserve">Областной бюджет  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</si>
  <si>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</si>
  <si>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Оплата услуг специалистов по организации обучения детей плаванию по программе «Плавание для всех» (2906)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</si>
  <si>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</si>
  <si>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</si>
  <si>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Субсидия на оплату расходов арендуемых спортивных объектов(2923)</t>
  </si>
  <si>
    <t>4.4</t>
  </si>
  <si>
    <t>итого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</si>
  <si>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 xml:space="preserve"> Финансовая поддержка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</si>
  <si>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 xml:space="preserve">№505-п/адм от 18.11.2022 </t>
  </si>
  <si>
    <t>отклонение</t>
  </si>
  <si>
    <t>2025г.                     №67-ЗГО от 19.12.2022г.</t>
  </si>
  <si>
    <t>2024г.                                 №67-ЗГО от 19.12.2022г.</t>
  </si>
  <si>
    <t>Оплата услуг специалистов по организации физкультурно-оздоровительной и спортивно-массовой работы с населением среднего возраста 2916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</si>
  <si>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</si>
  <si>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 xml:space="preserve">        к пояснительной записке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</si>
  <si>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</si>
  <si>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>Златоустовского городского округа</t>
  </si>
  <si>
    <t xml:space="preserve">2023 г.                         </t>
  </si>
  <si>
    <t xml:space="preserve">2024 г.                                 </t>
  </si>
  <si>
    <t xml:space="preserve">2025 г.                     </t>
  </si>
  <si>
    <t>приобретение спортивного инвентаря и оборудования для спортивных школ и физкультурно-спортивных организаций 912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</si>
  <si>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</si>
  <si>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 xml:space="preserve">№17-ЗГО От 03.04.2023 </t>
  </si>
  <si>
    <t>Основное мероприятие "Реализация инициативных проектов"</t>
  </si>
  <si>
    <t>Реализация инициативных проектов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</t>
  </si>
  <si>
    <t>Субсидия на приобретение основных средств (за исключением спортивного инвентаря и оборудования для физкультурно-спортивных организаций) (2907)</t>
  </si>
  <si>
    <t>4.5</t>
  </si>
  <si>
    <t>Субсидия на проведение мероприятий по информационно-просветительской работе, в том числе в информационно- телекоммуникационных сетях</t>
  </si>
  <si>
    <t>1.14</t>
  </si>
  <si>
    <t xml:space="preserve"> приобретение спортивного инвентаря и оборудования для физкультурно-спортивных организаций (2912)</t>
  </si>
  <si>
    <t>МАУДО СШОР №8</t>
  </si>
  <si>
    <t>Реконструкция лыжного стадиона им. С. И.Ишмуратовой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</si>
  <si>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МАУДО СШОР №1</t>
  </si>
  <si>
    <t>Пояснеие</t>
  </si>
  <si>
    <t>1.15</t>
  </si>
  <si>
    <t>1.16</t>
  </si>
  <si>
    <t>бюджет ЗГО</t>
  </si>
  <si>
    <t>Основное мероприятие "Строительство, реконструкция спортивных объектов"</t>
  </si>
  <si>
    <t>тыс. рублей</t>
  </si>
  <si>
    <t xml:space="preserve">№31-ЗГО От 03.07.2023 </t>
  </si>
  <si>
    <t>3 шк водогагреватель-30,4 тыс. руб., 1 шк дотация- 5360тыс. руб, 5 шк депутатские- 68 тыс. руб., 7 шк скдейский домик-1 750,0 тыс. руб, 1 шк -47,0 тыс. руб. устранение замечаний санпин</t>
  </si>
  <si>
    <t xml:space="preserve">7 шк участие в соревнованиях </t>
  </si>
  <si>
    <t>Субсидия на проведение мероприятий по информационно-просветительской работе, в том числе в информационно- телекоммуникационных сетях (2919)</t>
  </si>
  <si>
    <t>4.6</t>
  </si>
  <si>
    <t>4.7</t>
  </si>
  <si>
    <t>4.8</t>
  </si>
  <si>
    <t>4.9</t>
  </si>
  <si>
    <t>4.10</t>
  </si>
  <si>
    <t>4.11</t>
  </si>
  <si>
    <t>4.12</t>
  </si>
  <si>
    <t>МАУДО  СШ №7</t>
  </si>
  <si>
    <t xml:space="preserve">ПРИЛОЖЕНИЕ 2  к пояснительной </t>
  </si>
  <si>
    <t>№17-ЗГО От 03.04.2024</t>
  </si>
  <si>
    <t>№31-ЗГО От 03.07.2024</t>
  </si>
  <si>
    <t xml:space="preserve">Бюджет ЗГО  </t>
  </si>
  <si>
    <t>Всего по подпрограмме программе:</t>
  </si>
  <si>
    <t xml:space="preserve">Федеральный бюджет </t>
  </si>
  <si>
    <t>Бюджнт ЗГО</t>
  </si>
  <si>
    <t xml:space="preserve">Приложение постановление ремонт </t>
  </si>
  <si>
    <t xml:space="preserve">повышение уровня удовлетворённости населения созданными условиями для занятий физической культурой и спортом на территории Златоустовского городского округа -70%
</t>
  </si>
  <si>
    <t>5.1</t>
  </si>
  <si>
    <t>5.2</t>
  </si>
  <si>
    <t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</t>
  </si>
  <si>
    <t>№31-ЗГО От 03.07.2023</t>
  </si>
  <si>
    <t>№67-ЗГО От 19,12,2023</t>
  </si>
  <si>
    <t>уточнили мероприятия на управление</t>
  </si>
  <si>
    <t xml:space="preserve">обеспечение доплаты педагогам 7 437,9тр, 5 170,0тр коммунальные расходы, 3 284,0-прочие расходы  </t>
  </si>
  <si>
    <t xml:space="preserve">2024 г.    №67-зго от 19.12.2023                             </t>
  </si>
  <si>
    <t xml:space="preserve">2025 г.  №67-зго от 19.12.2023                       </t>
  </si>
  <si>
    <t>контроль</t>
  </si>
  <si>
    <t>областной бюджет</t>
  </si>
  <si>
    <t xml:space="preserve">350 тр 3 шк на баскетбол ваыделено дополнительно Минспортом </t>
  </si>
  <si>
    <t xml:space="preserve">Договор на 3 шк </t>
  </si>
  <si>
    <t>дополнительные средства на проведение мероприятий: техобслуживание электромеханических мешений - 52,3тр, приобретение мгкого инвентар дл утбольных и хоккейных команд -601тр, выездные мероприятия- 1300,1тр, перераспределение с субсидии 2904- 237,8тр,-катки 2500тр</t>
  </si>
  <si>
    <t>255,4тр -компенсация за медецинское обслуживание</t>
  </si>
  <si>
    <t xml:space="preserve">2023г.- сш 1 проведение экспертизы ПСД-110,тр, сш 4 замена розлива отопления-172,5тр, сш 3 ремонт окон (депутатские)-240,0тр, сш 3 водоотведение стадиона шк33-2030,9тр, СШ 5 ремонт спорт.зала пр. Гагарина, 5 линия, 3в-2513,6, ремонт и противопожарные- 4,3млн. р, тоннель- 15,1млн.р.;                       2024-2025гг.-средства перераспределены на ремонт МКУ УФКиС ЗГО г. Златоуст пл. 3  Интернационала д.12             </t>
  </si>
  <si>
    <t>204тр- сш 4 аренда зала Строителей, 14; 423,3тр-сш 5 аренда спортивных объектов; 124тр -сш 5 прочие по аренде</t>
  </si>
  <si>
    <t xml:space="preserve">63тр -сш 7 обеспечение доступности МГН; 77тр- столбики; 124тр - сш 7 оснащение центра ГТО; 124,9 тр-сш7 перераспределение, 305тр -сш 8; 903тр - 8 шк часы и барильефы </t>
  </si>
  <si>
    <t xml:space="preserve">3 шк баскебол дополнительные средства выделено Минспортом </t>
  </si>
  <si>
    <t xml:space="preserve">2024 г.                             </t>
  </si>
  <si>
    <t xml:space="preserve">2025 г.   </t>
  </si>
  <si>
    <t xml:space="preserve">2026 г.    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</si>
  <si>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</si>
  <si>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</si>
  <si>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</si>
  <si>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</si>
  <si>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</si>
  <si>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</si>
  <si>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</si>
  <si>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</si>
  <si>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</si>
  <si>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</si>
  <si>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</si>
  <si>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</si>
  <si>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</si>
  <si>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(2914)</t>
  </si>
  <si>
    <t>МКУ УФКиС ЗГО</t>
  </si>
  <si>
    <t>исполнители/                             соисполнители мероприятий</t>
  </si>
  <si>
    <t>к муниципальной программе</t>
  </si>
  <si>
    <t xml:space="preserve">Приложение 1 </t>
  </si>
  <si>
    <t>ПРИЛОЖЕНИЕ</t>
  </si>
  <si>
    <t>2023 г.</t>
  </si>
  <si>
    <t xml:space="preserve"> увеличение доли граждан Златоустовского городского округа, систематически занимающихся физической культурой и спортом, в общей численности населения данной категории Златоустовского городского округа -70%
</t>
  </si>
  <si>
    <t>Утверждено</t>
  </si>
  <si>
    <t>оплата услуг специалистов по организации физкультурно-оздоровительной и спортивно-массовой работы с населением старшего возраста (2915)</t>
  </si>
  <si>
    <t>финансовое обеспечение выполнения функций органов местного самоуправления и учреждений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</si>
  <si>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</si>
  <si>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 xml:space="preserve"> оплата расходов арендуемых спортивных объектов (2923)</t>
  </si>
  <si>
    <t>приобретение основных средств (за исключением спортивного инвентаря и оборудования для физкультурно-спортивных организаций) (2907)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</si>
  <si>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</si>
  <si>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оплата услуг специалистов по организации физкультурно-оздоровительной и спортивно-массовой работы с населением среднего возраста (2916)</t>
  </si>
  <si>
    <t>оплата услуг специалистов по организации обучения детей плаванию по программе «Плавание для всех» (2906)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</si>
  <si>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</si>
  <si>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(2903)</t>
  </si>
  <si>
    <t>подготовка и участие в соревнованиях, включенных в единый областной календарный план (2905)</t>
  </si>
  <si>
    <t>финансовое обеспечение выполнения функций органов местного самоуправления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</si>
  <si>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</si>
  <si>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реконструкция лыжного стадиона                               им. С. И.Ишмуратовой со строительством биатлонного стрельбища по адресу: Челябинская область, г. Златоуст, квартал                           № 152 Златоустовского участкового лесничества ОГУ " Миасское лесничество"</t>
  </si>
  <si>
    <t xml:space="preserve">строительство физкультурно-оздоровительного комплекса с залом  единоборств по адресу Челябинская область, г. Златоуст, поселок Айский </t>
  </si>
  <si>
    <t xml:space="preserve">реализация инициативных проектов: 2023г.- 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28); </t>
  </si>
  <si>
    <t>приобретение спортивного инвентаря и оборудования для спортивных школ и физкультурно-спортивных организаций (2912)</t>
  </si>
  <si>
    <t>участие в организации и проведении II Всероссийской спартакиады между субъектами Российской Федерации по зимним видам спорта среди сильнейших спортсменов (2926)</t>
  </si>
  <si>
    <t>постановлением Администрации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</si>
  <si>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 (2918)</t>
  </si>
  <si>
    <t>проведение муниципальных официальных физкультурных и спортивных мероприятий      (2904)</t>
  </si>
  <si>
    <t xml:space="preserve">2027 г.    </t>
  </si>
  <si>
    <t>государственная поддержка организаций, входящих в систему спортивной подготовки (2917)</t>
  </si>
  <si>
    <t xml:space="preserve"> проведение мероприятий по информационно-просветительской работе, в том числе в информационно- телекоммуникационных сетях (2919)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</si>
  <si>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(2909)</t>
  </si>
  <si>
    <t xml:space="preserve">Перечень  мероприятий муниципальной программы Златоустовского городского округа «Развитие физической культуры  и спорта  в Златоустовском городском округе» </t>
  </si>
  <si>
    <t xml:space="preserve">МКУ УФКиС ЗГО </t>
  </si>
  <si>
    <t>6.14</t>
  </si>
  <si>
    <t>МКУ УФКИС ЗГО</t>
  </si>
  <si>
    <t xml:space="preserve">заливка и содержание катков </t>
  </si>
  <si>
    <t xml:space="preserve">уточнение бюджета </t>
  </si>
  <si>
    <t xml:space="preserve">отклонение </t>
  </si>
  <si>
    <t xml:space="preserve">2025 год уточнение </t>
  </si>
  <si>
    <t>примечание</t>
  </si>
  <si>
    <t>решение СД №43-ЗГО:  86,3 тр.- ТЭР, 403,1тр.-договлра ГПХ,489,5-ФОТ ЗП;       Решение СД №43-ЗГО - 406,4тр. -мебель, 710,6 -рнмонт, 204,1тр. - ФОТ</t>
  </si>
  <si>
    <t>проведение соревнований</t>
  </si>
  <si>
    <t>участие в проведении соревнований</t>
  </si>
  <si>
    <t xml:space="preserve">уточнение расходов на приобрктение инвентаря </t>
  </si>
  <si>
    <t>контроль реш о бюдджнте №43-ЗГО</t>
  </si>
  <si>
    <t>притобретение инвентаря</t>
  </si>
  <si>
    <t>аренда помещений</t>
  </si>
  <si>
    <t xml:space="preserve">строительство физкультурно-оздоровительного комплекса с залом  единоборств в г. Златоуст Челябинской области </t>
  </si>
  <si>
    <t>2026 г уточнение</t>
  </si>
  <si>
    <t xml:space="preserve">2027г. Уточнение </t>
  </si>
  <si>
    <t>уточнение бюджета</t>
  </si>
  <si>
    <t>отиклонение</t>
  </si>
  <si>
    <t>к пояснительной записке</t>
  </si>
  <si>
    <t xml:space="preserve">уточнение объема финансировеания и нименования расходов </t>
  </si>
  <si>
    <t xml:space="preserve">
</t>
  </si>
  <si>
    <t>СШ 4 аренда зала СК Локомотив и Парковый проезд 3б</t>
  </si>
  <si>
    <t>Распоряжение ЗГО №1706 р АДМ от 23.05.25</t>
  </si>
  <si>
    <t>СШ 5 ремонт отмостки фундамента-151,63тр, СШ1 оконные рамы-25тр, СШ 7 противопожарные мероприятия,проверка технического состояния-36,8тр, СШ 7 стадион Таганай завершение реконструкции- 556,87тр, СШ 3 составление сметной документации,проверка сметн документации,ремонт кровли тренажерного зала Агат -1339,9 тр, РАЗГО 1706 р АДМ от 23.05.25 -2847,25тр, сш 1 возмещение расходов-2864,268тр, СШ 8 ремонт помещ19,23,18,24,ремонт подпорной стенки,проверка ПСД,ремонт теплотрассы, приобретение резин гранулята-55379,24 тр, СШ 1 установка щелевой водоприемной решетки-6626 тр.</t>
  </si>
  <si>
    <t>Распоряжение администрации ЗГО от 20.01.2025 г. № 95-р/АДМ, Муниципальное задание 4 шк, имущества 5 шк, запчасти 8 шк, паспорт доступности 5 шк, Фот инструкторов по ГТО, Убощики помещений и сторож 3шк, 8 шк.</t>
  </si>
  <si>
    <t>МКУ УФКиС ЗГО / Администрация Златоустовского городского округа</t>
  </si>
  <si>
    <t>Администрация Златоустовского городского округа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</si>
  <si>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</si>
  <si>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ПРИЛОЖЕНИЕ
Утверждено
постановлением Администрации
Златоустовского городского округа
____________________________</t>
  </si>
  <si>
    <t xml:space="preserve">2028 г.    </t>
  </si>
  <si>
    <t>исполнение судебных актов</t>
  </si>
  <si>
    <t>6.15</t>
  </si>
  <si>
    <t>6.16</t>
  </si>
  <si>
    <t>участие в организации и проведении финала Кубка России по биатлону</t>
  </si>
  <si>
    <t>89-ЗГО от 15.12.2025</t>
  </si>
  <si>
    <t>90-ЗГО от 18.12.2025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</si>
  <si>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 (2918) (с 2026г. -2911)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</si>
  <si>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 (2903)</t>
  </si>
  <si>
    <t>залтвка и содержание катков</t>
  </si>
  <si>
    <t>Перечень  мероприятий муниципальной программы Златоустовского городского округа «Развитие физической культуры  и спорта  в Златоустовском городском округе»                             тыс. рублей</t>
  </si>
  <si>
    <t>№п/п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</si>
</sst>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0"/>
    <numFmt numFmtId="166" formatCode="#,##0.0"/>
    <numFmt numFmtId="167" formatCode="0.0"/>
  </numFmts>
  <fonts count="5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9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9"/>
      <color rgb="FFFF0000"/>
      <name val="Times New Roman"/>
      <family val="1"/>
      <charset val="204"/>
    </font>
    <font>
      <sz val="19"/>
      <color theme="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9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b/>
      <sz val="22"/>
      <name val="Calibri"/>
      <family val="2"/>
      <charset val="204"/>
      <scheme val="minor"/>
    </font>
    <font>
      <sz val="20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5">
    <xf numFmtId="0" fontId="0" fillId="0" borderId="0" xfId="0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3" fillId="2" borderId="0" xfId="0" applyFont="1" applyFill="1"/>
    <xf numFmtId="0" fontId="0" fillId="2" borderId="0" xfId="0" applyFill="1"/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1" fillId="0" borderId="0" xfId="0" applyFont="1"/>
    <xf numFmtId="0" fontId="13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166" fontId="15" fillId="2" borderId="6" xfId="0" applyNumberFormat="1" applyFont="1" applyFill="1" applyBorder="1" applyAlignment="1">
      <alignment vertical="center"/>
    </xf>
    <xf numFmtId="166" fontId="15" fillId="2" borderId="1" xfId="0" applyNumberFormat="1" applyFont="1" applyFill="1" applyBorder="1" applyAlignment="1">
      <alignment horizontal="right" vertical="center"/>
    </xf>
    <xf numFmtId="166" fontId="15" fillId="2" borderId="5" xfId="0" applyNumberFormat="1" applyFont="1" applyFill="1" applyBorder="1" applyAlignment="1">
      <alignment horizontal="right" vertical="center"/>
    </xf>
    <xf numFmtId="166" fontId="13" fillId="2" borderId="3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/>
    <xf numFmtId="167" fontId="0" fillId="2" borderId="0" xfId="0" applyNumberFormat="1" applyFill="1"/>
    <xf numFmtId="167" fontId="6" fillId="2" borderId="0" xfId="0" applyNumberFormat="1" applyFont="1" applyFill="1" applyAlignment="1">
      <alignment vertical="center" wrapText="1"/>
    </xf>
    <xf numFmtId="167" fontId="15" fillId="2" borderId="1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166" fontId="3" fillId="2" borderId="0" xfId="0" applyNumberFormat="1" applyFont="1" applyFill="1"/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vertical="center"/>
    </xf>
    <xf numFmtId="167" fontId="15" fillId="2" borderId="1" xfId="0" applyNumberFormat="1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167" fontId="15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4" fontId="15" fillId="3" borderId="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right" vertical="center"/>
    </xf>
    <xf numFmtId="166" fontId="13" fillId="2" borderId="2" xfId="0" applyNumberFormat="1" applyFont="1" applyFill="1" applyBorder="1" applyAlignment="1">
      <alignment horizontal="left" vertical="center" wrapText="1"/>
    </xf>
    <xf numFmtId="166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166" fontId="15" fillId="2" borderId="4" xfId="0" applyNumberFormat="1" applyFont="1" applyFill="1" applyBorder="1" applyAlignment="1">
      <alignment horizontal="right" vertical="center"/>
    </xf>
    <xf numFmtId="166" fontId="15" fillId="2" borderId="4" xfId="0" applyNumberFormat="1" applyFont="1" applyFill="1" applyBorder="1" applyAlignment="1">
      <alignment vertical="center"/>
    </xf>
    <xf numFmtId="166" fontId="15" fillId="2" borderId="14" xfId="0" applyNumberFormat="1" applyFont="1" applyFill="1" applyBorder="1" applyAlignment="1">
      <alignment horizontal="right" vertical="center"/>
    </xf>
    <xf numFmtId="166" fontId="15" fillId="2" borderId="16" xfId="0" applyNumberFormat="1" applyFont="1" applyFill="1" applyBorder="1" applyAlignment="1">
      <alignment horizontal="right" vertical="center"/>
    </xf>
    <xf numFmtId="166" fontId="15" fillId="2" borderId="17" xfId="0" applyNumberFormat="1" applyFont="1" applyFill="1" applyBorder="1" applyAlignment="1">
      <alignment horizontal="right" vertical="center"/>
    </xf>
    <xf numFmtId="166" fontId="15" fillId="2" borderId="18" xfId="0" applyNumberFormat="1" applyFont="1" applyFill="1" applyBorder="1" applyAlignment="1">
      <alignment horizontal="right" vertical="center"/>
    </xf>
    <xf numFmtId="166" fontId="13" fillId="2" borderId="17" xfId="0" applyNumberFormat="1" applyFont="1" applyFill="1" applyBorder="1" applyAlignment="1">
      <alignment horizontal="left" vertical="center" wrapText="1"/>
    </xf>
    <xf numFmtId="166" fontId="13" fillId="2" borderId="18" xfId="0" applyNumberFormat="1" applyFont="1" applyFill="1" applyBorder="1" applyAlignment="1">
      <alignment horizontal="left" vertical="center" wrapText="1"/>
    </xf>
    <xf numFmtId="166" fontId="15" fillId="2" borderId="17" xfId="0" applyNumberFormat="1" applyFont="1" applyFill="1" applyBorder="1" applyAlignment="1">
      <alignment vertical="center"/>
    </xf>
    <xf numFmtId="166" fontId="15" fillId="2" borderId="18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vertical="center"/>
    </xf>
    <xf numFmtId="4" fontId="15" fillId="2" borderId="1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right" vertical="center"/>
    </xf>
    <xf numFmtId="167" fontId="15" fillId="2" borderId="2" xfId="0" applyNumberFormat="1" applyFont="1" applyFill="1" applyBorder="1" applyAlignment="1">
      <alignment horizontal="right" vertical="center"/>
    </xf>
    <xf numFmtId="4" fontId="15" fillId="2" borderId="6" xfId="0" applyNumberFormat="1" applyFont="1" applyFill="1" applyBorder="1"/>
    <xf numFmtId="166" fontId="15" fillId="2" borderId="14" xfId="0" applyNumberFormat="1" applyFont="1" applyFill="1" applyBorder="1" applyAlignment="1">
      <alignment vertical="center"/>
    </xf>
    <xf numFmtId="166" fontId="15" fillId="2" borderId="15" xfId="0" applyNumberFormat="1" applyFont="1" applyFill="1" applyBorder="1" applyAlignment="1">
      <alignment vertical="center"/>
    </xf>
    <xf numFmtId="166" fontId="15" fillId="2" borderId="16" xfId="0" applyNumberFormat="1" applyFont="1" applyFill="1" applyBorder="1" applyAlignment="1">
      <alignment vertical="center"/>
    </xf>
    <xf numFmtId="4" fontId="15" fillId="2" borderId="6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 wrapText="1"/>
    </xf>
    <xf numFmtId="2" fontId="14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29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2" borderId="0" xfId="0" applyFont="1" applyFill="1"/>
    <xf numFmtId="166" fontId="30" fillId="2" borderId="1" xfId="0" applyNumberFormat="1" applyFont="1" applyFill="1" applyBorder="1" applyAlignment="1">
      <alignment vertical="center"/>
    </xf>
    <xf numFmtId="0" fontId="10" fillId="2" borderId="0" xfId="0" applyFont="1" applyFill="1"/>
    <xf numFmtId="4" fontId="12" fillId="2" borderId="0" xfId="0" applyNumberFormat="1" applyFont="1" applyFill="1"/>
    <xf numFmtId="0" fontId="7" fillId="2" borderId="0" xfId="0" applyFont="1" applyFill="1"/>
    <xf numFmtId="4" fontId="22" fillId="2" borderId="1" xfId="0" applyNumberFormat="1" applyFont="1" applyFill="1" applyBorder="1" applyAlignment="1">
      <alignment vertical="center"/>
    </xf>
    <xf numFmtId="0" fontId="9" fillId="2" borderId="1" xfId="0" applyFont="1" applyFill="1" applyBorder="1"/>
    <xf numFmtId="0" fontId="15" fillId="2" borderId="11" xfId="0" applyFont="1" applyFill="1" applyBorder="1" applyAlignment="1">
      <alignment horizontal="center" vertical="center" wrapText="1"/>
    </xf>
    <xf numFmtId="167" fontId="15" fillId="2" borderId="12" xfId="0" applyNumberFormat="1" applyFont="1" applyFill="1" applyBorder="1" applyAlignment="1">
      <alignment horizontal="center" vertical="center" wrapText="1"/>
    </xf>
    <xf numFmtId="166" fontId="15" fillId="2" borderId="15" xfId="0" applyNumberFormat="1" applyFont="1" applyFill="1" applyBorder="1" applyAlignment="1">
      <alignment horizontal="right" vertical="center"/>
    </xf>
    <xf numFmtId="166" fontId="30" fillId="2" borderId="15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166" fontId="13" fillId="2" borderId="1" xfId="0" applyNumberFormat="1" applyFont="1" applyFill="1" applyBorder="1" applyAlignment="1">
      <alignment horizontal="right" vertical="center"/>
    </xf>
    <xf numFmtId="166" fontId="13" fillId="2" borderId="5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6" fontId="13" fillId="2" borderId="6" xfId="0" applyNumberFormat="1" applyFont="1" applyFill="1" applyBorder="1" applyAlignment="1">
      <alignment horizontal="right" vertical="center"/>
    </xf>
    <xf numFmtId="166" fontId="24" fillId="2" borderId="1" xfId="0" applyNumberFormat="1" applyFont="1" applyFill="1" applyBorder="1" applyAlignment="1">
      <alignment vertical="center"/>
    </xf>
    <xf numFmtId="166" fontId="24" fillId="2" borderId="6" xfId="0" applyNumberFormat="1" applyFont="1" applyFill="1" applyBorder="1" applyAlignment="1">
      <alignment vertical="center"/>
    </xf>
    <xf numFmtId="166" fontId="23" fillId="2" borderId="6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/>
    <xf numFmtId="4" fontId="13" fillId="2" borderId="1" xfId="0" applyNumberFormat="1" applyFont="1" applyFill="1" applyBorder="1"/>
    <xf numFmtId="166" fontId="13" fillId="2" borderId="1" xfId="0" applyNumberFormat="1" applyFont="1" applyFill="1" applyBorder="1"/>
    <xf numFmtId="0" fontId="13" fillId="2" borderId="2" xfId="0" applyFont="1" applyFill="1" applyBorder="1"/>
    <xf numFmtId="0" fontId="13" fillId="2" borderId="1" xfId="0" applyFont="1" applyFill="1" applyBorder="1"/>
    <xf numFmtId="165" fontId="13" fillId="2" borderId="2" xfId="0" applyNumberFormat="1" applyFont="1" applyFill="1" applyBorder="1"/>
    <xf numFmtId="165" fontId="13" fillId="2" borderId="1" xfId="0" applyNumberFormat="1" applyFont="1" applyFill="1" applyBorder="1"/>
    <xf numFmtId="166" fontId="24" fillId="2" borderId="3" xfId="0" applyNumberFormat="1" applyFont="1" applyFill="1" applyBorder="1" applyAlignment="1">
      <alignment vertical="center"/>
    </xf>
    <xf numFmtId="166" fontId="24" fillId="2" borderId="9" xfId="0" applyNumberFormat="1" applyFont="1" applyFill="1" applyBorder="1" applyAlignment="1">
      <alignment vertical="center"/>
    </xf>
    <xf numFmtId="165" fontId="13" fillId="2" borderId="3" xfId="0" applyNumberFormat="1" applyFont="1" applyFill="1" applyBorder="1"/>
    <xf numFmtId="165" fontId="13" fillId="2" borderId="0" xfId="0" applyNumberFormat="1" applyFont="1" applyFill="1"/>
    <xf numFmtId="0" fontId="1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 vertical="justify" wrapText="1"/>
    </xf>
    <xf numFmtId="166" fontId="13" fillId="2" borderId="6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166" fontId="15" fillId="2" borderId="6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right" vertical="center"/>
    </xf>
    <xf numFmtId="166" fontId="25" fillId="2" borderId="1" xfId="0" applyNumberFormat="1" applyFont="1" applyFill="1" applyBorder="1"/>
    <xf numFmtId="4" fontId="25" fillId="2" borderId="1" xfId="0" applyNumberFormat="1" applyFont="1" applyFill="1" applyBorder="1"/>
    <xf numFmtId="166" fontId="25" fillId="2" borderId="6" xfId="0" applyNumberFormat="1" applyFont="1" applyFill="1" applyBorder="1"/>
    <xf numFmtId="166" fontId="11" fillId="2" borderId="6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164" fontId="20" fillId="2" borderId="1" xfId="0" applyNumberFormat="1" applyFont="1" applyFill="1" applyBorder="1"/>
    <xf numFmtId="166" fontId="25" fillId="2" borderId="1" xfId="0" applyNumberFormat="1" applyFont="1" applyFill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 vertical="center"/>
    </xf>
    <xf numFmtId="166" fontId="25" fillId="2" borderId="6" xfId="0" applyNumberFormat="1" applyFont="1" applyFill="1" applyBorder="1" applyAlignment="1">
      <alignment horizontal="right" vertical="center"/>
    </xf>
    <xf numFmtId="166" fontId="26" fillId="2" borderId="6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4" fontId="15" fillId="2" borderId="15" xfId="0" applyNumberFormat="1" applyFont="1" applyFill="1" applyBorder="1" applyAlignment="1">
      <alignment vertical="center"/>
    </xf>
    <xf numFmtId="166" fontId="15" fillId="2" borderId="20" xfId="0" applyNumberFormat="1" applyFont="1" applyFill="1" applyBorder="1" applyAlignment="1">
      <alignment vertical="center"/>
    </xf>
    <xf numFmtId="4" fontId="22" fillId="2" borderId="4" xfId="0" applyNumberFormat="1" applyFont="1" applyFill="1" applyBorder="1" applyAlignment="1">
      <alignment vertical="center"/>
    </xf>
    <xf numFmtId="166" fontId="15" fillId="2" borderId="21" xfId="0" applyNumberFormat="1" applyFont="1" applyFill="1" applyBorder="1" applyAlignment="1">
      <alignment vertical="center"/>
    </xf>
    <xf numFmtId="166" fontId="15" fillId="2" borderId="19" xfId="0" applyNumberFormat="1" applyFont="1" applyFill="1" applyBorder="1" applyAlignment="1">
      <alignment vertical="center"/>
    </xf>
    <xf numFmtId="166" fontId="15" fillId="2" borderId="22" xfId="0" applyNumberFormat="1" applyFont="1" applyFill="1" applyBorder="1" applyAlignment="1">
      <alignment vertical="center"/>
    </xf>
    <xf numFmtId="4" fontId="22" fillId="2" borderId="22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horizontal="right" vertical="center"/>
    </xf>
    <xf numFmtId="166" fontId="15" fillId="2" borderId="11" xfId="0" applyNumberFormat="1" applyFont="1" applyFill="1" applyBorder="1" applyAlignment="1">
      <alignment vertical="center"/>
    </xf>
    <xf numFmtId="166" fontId="15" fillId="2" borderId="12" xfId="0" applyNumberFormat="1" applyFont="1" applyFill="1" applyBorder="1" applyAlignment="1">
      <alignment vertical="center"/>
    </xf>
    <xf numFmtId="4" fontId="15" fillId="2" borderId="12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vertical="center"/>
    </xf>
    <xf numFmtId="4" fontId="22" fillId="2" borderId="6" xfId="0" applyNumberFormat="1" applyFont="1" applyFill="1" applyBorder="1" applyAlignment="1">
      <alignment vertical="center"/>
    </xf>
    <xf numFmtId="166" fontId="15" fillId="3" borderId="17" xfId="0" applyNumberFormat="1" applyFont="1" applyFill="1" applyBorder="1" applyAlignment="1">
      <alignment vertical="center"/>
    </xf>
    <xf numFmtId="4" fontId="22" fillId="2" borderId="12" xfId="0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166" fontId="30" fillId="2" borderId="1" xfId="0" applyNumberFormat="1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166" fontId="30" fillId="2" borderId="24" xfId="0" applyNumberFormat="1" applyFont="1" applyFill="1" applyBorder="1" applyAlignment="1">
      <alignment vertical="center"/>
    </xf>
    <xf numFmtId="166" fontId="30" fillId="2" borderId="2" xfId="0" applyNumberFormat="1" applyFont="1" applyFill="1" applyBorder="1" applyAlignment="1">
      <alignment vertical="center"/>
    </xf>
    <xf numFmtId="166" fontId="30" fillId="2" borderId="23" xfId="0" applyNumberFormat="1" applyFont="1" applyFill="1" applyBorder="1" applyAlignment="1">
      <alignment vertical="center"/>
    </xf>
    <xf numFmtId="166" fontId="30" fillId="2" borderId="2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2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/>
    <xf numFmtId="4" fontId="9" fillId="2" borderId="0" xfId="0" applyNumberFormat="1" applyFont="1" applyFill="1"/>
    <xf numFmtId="164" fontId="0" fillId="2" borderId="0" xfId="0" applyNumberFormat="1" applyFill="1"/>
    <xf numFmtId="4" fontId="0" fillId="2" borderId="0" xfId="0" applyNumberFormat="1" applyFill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4" fontId="10" fillId="2" borderId="0" xfId="0" applyNumberFormat="1" applyFont="1" applyFill="1"/>
    <xf numFmtId="0" fontId="13" fillId="2" borderId="2" xfId="0" applyFont="1" applyFill="1" applyBorder="1" applyAlignment="1">
      <alignment horizontal="center"/>
    </xf>
    <xf numFmtId="4" fontId="7" fillId="2" borderId="0" xfId="0" applyNumberFormat="1" applyFont="1" applyFill="1"/>
    <xf numFmtId="0" fontId="13" fillId="2" borderId="5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0" fillId="2" borderId="1" xfId="0" applyFont="1" applyFill="1" applyBorder="1" applyAlignment="1">
      <alignment horizontal="center"/>
    </xf>
    <xf numFmtId="0" fontId="21" fillId="2" borderId="0" xfId="0" applyFont="1" applyFill="1"/>
    <xf numFmtId="166" fontId="15" fillId="3" borderId="1" xfId="0" applyNumberFormat="1" applyFont="1" applyFill="1" applyBorder="1" applyAlignment="1">
      <alignment horizontal="right" vertical="center"/>
    </xf>
    <xf numFmtId="4" fontId="15" fillId="3" borderId="6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vertical="center" wrapText="1"/>
    </xf>
    <xf numFmtId="4" fontId="3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wrapText="1"/>
    </xf>
    <xf numFmtId="0" fontId="13" fillId="2" borderId="9" xfId="0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right" vertical="center"/>
    </xf>
    <xf numFmtId="4" fontId="32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31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/>
    <xf numFmtId="165" fontId="35" fillId="2" borderId="1" xfId="0" applyNumberFormat="1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center"/>
    </xf>
    <xf numFmtId="4" fontId="3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64" fontId="15" fillId="2" borderId="1" xfId="0" applyNumberFormat="1" applyFont="1" applyFill="1" applyBorder="1"/>
    <xf numFmtId="4" fontId="14" fillId="2" borderId="1" xfId="0" applyNumberFormat="1" applyFont="1" applyFill="1" applyBorder="1"/>
    <xf numFmtId="4" fontId="5" fillId="2" borderId="1" xfId="0" applyNumberFormat="1" applyFont="1" applyFill="1" applyBorder="1"/>
    <xf numFmtId="4" fontId="37" fillId="2" borderId="0" xfId="0" applyNumberFormat="1" applyFont="1" applyFill="1" applyAlignment="1">
      <alignment horizontal="center"/>
    </xf>
    <xf numFmtId="165" fontId="36" fillId="2" borderId="1" xfId="0" applyNumberFormat="1" applyFont="1" applyFill="1" applyBorder="1" applyAlignment="1">
      <alignment horizontal="center" vertical="center"/>
    </xf>
    <xf numFmtId="165" fontId="36" fillId="2" borderId="1" xfId="0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" fontId="38" fillId="2" borderId="0" xfId="0" applyNumberFormat="1" applyFont="1" applyFill="1" applyAlignment="1">
      <alignment horizontal="center"/>
    </xf>
    <xf numFmtId="4" fontId="25" fillId="2" borderId="0" xfId="0" applyNumberFormat="1" applyFont="1" applyFill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15" fillId="2" borderId="9" xfId="0" applyFont="1" applyFill="1" applyBorder="1" applyAlignment="1">
      <alignment wrapText="1"/>
    </xf>
    <xf numFmtId="0" fontId="15" fillId="2" borderId="9" xfId="0" applyFont="1" applyFill="1" applyBorder="1" applyAlignment="1">
      <alignment horizontal="center" vertical="center" wrapText="1"/>
    </xf>
    <xf numFmtId="2" fontId="39" fillId="2" borderId="1" xfId="0" applyNumberFormat="1" applyFont="1" applyFill="1" applyBorder="1" applyAlignment="1">
      <alignment vertical="center" wrapText="1"/>
    </xf>
    <xf numFmtId="2" fontId="39" fillId="2" borderId="1" xfId="0" applyNumberFormat="1" applyFont="1" applyFill="1" applyBorder="1" applyAlignment="1">
      <alignment horizontal="center" vertical="center" wrapText="1"/>
    </xf>
    <xf numFmtId="4" fontId="39" fillId="2" borderId="1" xfId="0" applyNumberFormat="1" applyFont="1" applyFill="1" applyBorder="1" applyAlignment="1">
      <alignment horizontal="center" vertical="center" wrapText="1"/>
    </xf>
    <xf numFmtId="0" fontId="40" fillId="2" borderId="0" xfId="0" applyFont="1" applyFill="1"/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38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41" fillId="2" borderId="0" xfId="0" applyFont="1" applyFill="1"/>
    <xf numFmtId="49" fontId="37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5" fillId="2" borderId="1" xfId="0" applyFont="1" applyFill="1" applyBorder="1"/>
    <xf numFmtId="0" fontId="42" fillId="2" borderId="0" xfId="0" applyFont="1" applyFill="1"/>
    <xf numFmtId="0" fontId="15" fillId="2" borderId="1" xfId="0" applyFont="1" applyFill="1" applyBorder="1" applyAlignment="1">
      <alignment horizontal="center" wrapText="1"/>
    </xf>
    <xf numFmtId="165" fontId="15" fillId="2" borderId="1" xfId="0" applyNumberFormat="1" applyFont="1" applyFill="1" applyBorder="1"/>
    <xf numFmtId="0" fontId="15" fillId="2" borderId="1" xfId="0" applyFont="1" applyFill="1" applyBorder="1" applyAlignment="1">
      <alignment horizontal="left" wrapText="1"/>
    </xf>
    <xf numFmtId="0" fontId="43" fillId="2" borderId="0" xfId="0" applyFont="1" applyFill="1"/>
    <xf numFmtId="0" fontId="44" fillId="2" borderId="0" xfId="0" applyFont="1" applyFill="1"/>
    <xf numFmtId="4" fontId="39" fillId="2" borderId="1" xfId="0" applyNumberFormat="1" applyFont="1" applyFill="1" applyBorder="1"/>
    <xf numFmtId="4" fontId="38" fillId="2" borderId="1" xfId="0" applyNumberFormat="1" applyFont="1" applyFill="1" applyBorder="1"/>
    <xf numFmtId="0" fontId="25" fillId="2" borderId="0" xfId="0" applyFont="1" applyFill="1" applyAlignment="1">
      <alignment horizontal="center" vertical="center"/>
    </xf>
    <xf numFmtId="0" fontId="27" fillId="2" borderId="0" xfId="0" applyFont="1" applyFill="1"/>
    <xf numFmtId="165" fontId="13" fillId="2" borderId="1" xfId="0" applyNumberFormat="1" applyFont="1" applyFill="1" applyBorder="1" applyAlignment="1">
      <alignment horizontal="center" wrapText="1"/>
    </xf>
    <xf numFmtId="0" fontId="24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 vertical="center"/>
    </xf>
    <xf numFmtId="4" fontId="42" fillId="2" borderId="0" xfId="0" applyNumberFormat="1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4" fontId="27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166" fontId="37" fillId="2" borderId="1" xfId="0" applyNumberFormat="1" applyFont="1" applyFill="1" applyBorder="1" applyAlignment="1">
      <alignment horizontal="right" vertical="center"/>
    </xf>
    <xf numFmtId="4" fontId="37" fillId="2" borderId="1" xfId="0" applyNumberFormat="1" applyFont="1" applyFill="1" applyBorder="1" applyAlignment="1">
      <alignment horizontal="center" vertical="center"/>
    </xf>
    <xf numFmtId="165" fontId="37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center"/>
    </xf>
    <xf numFmtId="0" fontId="15" fillId="3" borderId="9" xfId="0" applyFont="1" applyFill="1" applyBorder="1" applyAlignment="1">
      <alignment wrapText="1"/>
    </xf>
    <xf numFmtId="4" fontId="27" fillId="3" borderId="0" xfId="0" applyNumberFormat="1" applyFont="1" applyFill="1" applyAlignment="1">
      <alignment horizontal="center"/>
    </xf>
    <xf numFmtId="165" fontId="27" fillId="3" borderId="0" xfId="0" applyNumberFormat="1" applyFont="1" applyFill="1" applyAlignment="1">
      <alignment horizontal="center"/>
    </xf>
    <xf numFmtId="0" fontId="46" fillId="3" borderId="0" xfId="0" applyFont="1" applyFill="1" applyAlignment="1">
      <alignment horizontal="center"/>
    </xf>
    <xf numFmtId="0" fontId="47" fillId="3" borderId="0" xfId="0" applyFont="1" applyFill="1" applyAlignment="1">
      <alignment horizontal="center" vertical="center"/>
    </xf>
    <xf numFmtId="0" fontId="48" fillId="3" borderId="0" xfId="0" applyFont="1" applyFill="1"/>
    <xf numFmtId="4" fontId="47" fillId="3" borderId="0" xfId="0" applyNumberFormat="1" applyFont="1" applyFill="1" applyAlignment="1">
      <alignment horizontal="center"/>
    </xf>
    <xf numFmtId="4" fontId="46" fillId="3" borderId="0" xfId="0" applyNumberFormat="1" applyFont="1" applyFill="1" applyAlignment="1">
      <alignment horizontal="center"/>
    </xf>
    <xf numFmtId="165" fontId="46" fillId="3" borderId="0" xfId="0" applyNumberFormat="1" applyFont="1" applyFill="1" applyAlignment="1">
      <alignment horizontal="center"/>
    </xf>
    <xf numFmtId="4" fontId="49" fillId="3" borderId="0" xfId="0" applyNumberFormat="1" applyFont="1" applyFill="1" applyAlignment="1">
      <alignment horizontal="center"/>
    </xf>
    <xf numFmtId="0" fontId="47" fillId="3" borderId="0" xfId="0" applyFont="1" applyFill="1" applyAlignment="1">
      <alignment horizontal="center"/>
    </xf>
    <xf numFmtId="0" fontId="47" fillId="3" borderId="0" xfId="0" applyFont="1" applyFill="1"/>
    <xf numFmtId="166" fontId="47" fillId="3" borderId="0" xfId="0" applyNumberFormat="1" applyFont="1" applyFill="1"/>
    <xf numFmtId="0" fontId="50" fillId="3" borderId="0" xfId="0" applyFont="1" applyFill="1" applyAlignment="1">
      <alignment horizontal="center"/>
    </xf>
    <xf numFmtId="0" fontId="51" fillId="3" borderId="0" xfId="0" applyFont="1" applyFill="1" applyAlignment="1">
      <alignment horizontal="center" vertical="center"/>
    </xf>
    <xf numFmtId="0" fontId="51" fillId="3" borderId="0" xfId="0" applyFont="1" applyFill="1"/>
    <xf numFmtId="4" fontId="51" fillId="3" borderId="0" xfId="0" applyNumberFormat="1" applyFont="1" applyFill="1" applyAlignment="1">
      <alignment horizontal="center"/>
    </xf>
    <xf numFmtId="165" fontId="51" fillId="3" borderId="0" xfId="0" applyNumberFormat="1" applyFont="1" applyFill="1" applyAlignment="1">
      <alignment horizontal="center"/>
    </xf>
    <xf numFmtId="0" fontId="51" fillId="3" borderId="0" xfId="0" applyFont="1" applyFill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horizontal="right" vertical="center"/>
    </xf>
    <xf numFmtId="4" fontId="15" fillId="4" borderId="1" xfId="0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4" fontId="15" fillId="4" borderId="1" xfId="0" applyNumberFormat="1" applyFont="1" applyFill="1" applyBorder="1" applyAlignment="1">
      <alignment vertical="center"/>
    </xf>
    <xf numFmtId="4" fontId="15" fillId="4" borderId="1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165" fontId="3" fillId="6" borderId="0" xfId="0" applyNumberFormat="1" applyFont="1" applyFill="1" applyAlignment="1">
      <alignment horizontal="center"/>
    </xf>
    <xf numFmtId="165" fontId="15" fillId="6" borderId="9" xfId="0" applyNumberFormat="1" applyFont="1" applyFill="1" applyBorder="1" applyAlignment="1">
      <alignment wrapText="1"/>
    </xf>
    <xf numFmtId="165" fontId="46" fillId="6" borderId="0" xfId="0" applyNumberFormat="1" applyFont="1" applyFill="1" applyAlignment="1">
      <alignment horizontal="center"/>
    </xf>
    <xf numFmtId="165" fontId="51" fillId="6" borderId="0" xfId="0" applyNumberFormat="1" applyFont="1" applyFill="1" applyAlignment="1">
      <alignment horizontal="center"/>
    </xf>
    <xf numFmtId="165" fontId="27" fillId="6" borderId="0" xfId="0" applyNumberFormat="1" applyFont="1" applyFill="1" applyAlignment="1">
      <alignment horizontal="center"/>
    </xf>
    <xf numFmtId="4" fontId="27" fillId="6" borderId="0" xfId="0" applyNumberFormat="1" applyFont="1" applyFill="1" applyAlignment="1">
      <alignment horizontal="center"/>
    </xf>
    <xf numFmtId="4" fontId="46" fillId="6" borderId="0" xfId="0" applyNumberFormat="1" applyFont="1" applyFill="1" applyAlignment="1">
      <alignment horizontal="center"/>
    </xf>
    <xf numFmtId="4" fontId="51" fillId="6" borderId="0" xfId="0" applyNumberFormat="1" applyFont="1" applyFill="1" applyAlignment="1">
      <alignment horizontal="center"/>
    </xf>
    <xf numFmtId="0" fontId="37" fillId="2" borderId="5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5" fontId="15" fillId="6" borderId="5" xfId="0" applyNumberFormat="1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165" fontId="52" fillId="3" borderId="1" xfId="0" applyNumberFormat="1" applyFont="1" applyFill="1" applyBorder="1" applyAlignment="1">
      <alignment horizontal="center" vertical="center"/>
    </xf>
    <xf numFmtId="165" fontId="52" fillId="6" borderId="1" xfId="0" applyNumberFormat="1" applyFont="1" applyFill="1" applyBorder="1" applyAlignment="1">
      <alignment horizontal="center" vertical="center"/>
    </xf>
    <xf numFmtId="165" fontId="52" fillId="5" borderId="1" xfId="0" applyNumberFormat="1" applyFont="1" applyFill="1" applyBorder="1" applyAlignment="1">
      <alignment horizontal="center" vertical="center"/>
    </xf>
    <xf numFmtId="165" fontId="52" fillId="2" borderId="1" xfId="0" applyNumberFormat="1" applyFont="1" applyFill="1" applyBorder="1" applyAlignment="1">
      <alignment horizontal="center" vertical="center"/>
    </xf>
    <xf numFmtId="165" fontId="53" fillId="3" borderId="1" xfId="0" applyNumberFormat="1" applyFont="1" applyFill="1" applyBorder="1" applyAlignment="1">
      <alignment horizontal="center" vertical="center" wrapText="1"/>
    </xf>
    <xf numFmtId="165" fontId="53" fillId="6" borderId="1" xfId="0" applyNumberFormat="1" applyFont="1" applyFill="1" applyBorder="1" applyAlignment="1">
      <alignment horizontal="center" vertical="center" wrapText="1"/>
    </xf>
    <xf numFmtId="165" fontId="53" fillId="5" borderId="1" xfId="0" applyNumberFormat="1" applyFont="1" applyFill="1" applyBorder="1" applyAlignment="1">
      <alignment horizontal="center" vertical="center" wrapText="1"/>
    </xf>
    <xf numFmtId="165" fontId="52" fillId="3" borderId="1" xfId="0" applyNumberFormat="1" applyFont="1" applyFill="1" applyBorder="1" applyAlignment="1">
      <alignment horizontal="center" vertical="center" wrapText="1"/>
    </xf>
    <xf numFmtId="165" fontId="52" fillId="6" borderId="1" xfId="0" applyNumberFormat="1" applyFont="1" applyFill="1" applyBorder="1" applyAlignment="1">
      <alignment horizontal="center" vertical="center" wrapText="1"/>
    </xf>
    <xf numFmtId="165" fontId="52" fillId="5" borderId="1" xfId="0" applyNumberFormat="1" applyFont="1" applyFill="1" applyBorder="1" applyAlignment="1">
      <alignment horizontal="center" vertical="center" wrapText="1"/>
    </xf>
    <xf numFmtId="4" fontId="52" fillId="4" borderId="1" xfId="0" applyNumberFormat="1" applyFont="1" applyFill="1" applyBorder="1" applyAlignment="1">
      <alignment horizontal="center" vertical="center"/>
    </xf>
    <xf numFmtId="4" fontId="52" fillId="6" borderId="1" xfId="0" applyNumberFormat="1" applyFont="1" applyFill="1" applyBorder="1" applyAlignment="1">
      <alignment horizontal="center" vertical="center"/>
    </xf>
    <xf numFmtId="165" fontId="52" fillId="4" borderId="1" xfId="0" applyNumberFormat="1" applyFont="1" applyFill="1" applyBorder="1" applyAlignment="1">
      <alignment horizontal="center"/>
    </xf>
    <xf numFmtId="165" fontId="52" fillId="6" borderId="1" xfId="0" applyNumberFormat="1" applyFont="1" applyFill="1" applyBorder="1" applyAlignment="1">
      <alignment horizontal="center"/>
    </xf>
    <xf numFmtId="165" fontId="52" fillId="3" borderId="1" xfId="0" applyNumberFormat="1" applyFont="1" applyFill="1" applyBorder="1" applyAlignment="1">
      <alignment horizontal="center"/>
    </xf>
    <xf numFmtId="165" fontId="52" fillId="2" borderId="1" xfId="0" applyNumberFormat="1" applyFont="1" applyFill="1" applyBorder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15" fillId="3" borderId="9" xfId="0" applyNumberFormat="1" applyFont="1" applyFill="1" applyBorder="1" applyAlignment="1">
      <alignment wrapText="1"/>
    </xf>
    <xf numFmtId="0" fontId="44" fillId="3" borderId="0" xfId="0" applyFont="1" applyFill="1"/>
    <xf numFmtId="165" fontId="3" fillId="7" borderId="0" xfId="0" applyNumberFormat="1" applyFont="1" applyFill="1" applyAlignment="1">
      <alignment horizontal="center"/>
    </xf>
    <xf numFmtId="165" fontId="15" fillId="7" borderId="9" xfId="0" applyNumberFormat="1" applyFont="1" applyFill="1" applyBorder="1" applyAlignment="1">
      <alignment wrapText="1"/>
    </xf>
    <xf numFmtId="165" fontId="15" fillId="7" borderId="1" xfId="0" applyNumberFormat="1" applyFont="1" applyFill="1" applyBorder="1" applyAlignment="1">
      <alignment horizontal="center" vertical="center" wrapText="1"/>
    </xf>
    <xf numFmtId="165" fontId="52" fillId="7" borderId="1" xfId="0" applyNumberFormat="1" applyFont="1" applyFill="1" applyBorder="1" applyAlignment="1">
      <alignment horizontal="center" vertical="center"/>
    </xf>
    <xf numFmtId="165" fontId="53" fillId="7" borderId="1" xfId="0" applyNumberFormat="1" applyFont="1" applyFill="1" applyBorder="1" applyAlignment="1">
      <alignment horizontal="center" vertical="center" wrapText="1"/>
    </xf>
    <xf numFmtId="165" fontId="52" fillId="7" borderId="1" xfId="0" applyNumberFormat="1" applyFont="1" applyFill="1" applyBorder="1" applyAlignment="1">
      <alignment horizontal="center" vertical="center" wrapText="1"/>
    </xf>
    <xf numFmtId="165" fontId="52" fillId="7" borderId="1" xfId="0" applyNumberFormat="1" applyFont="1" applyFill="1" applyBorder="1" applyAlignment="1">
      <alignment horizontal="center"/>
    </xf>
    <xf numFmtId="165" fontId="46" fillId="7" borderId="0" xfId="0" applyNumberFormat="1" applyFont="1" applyFill="1" applyAlignment="1">
      <alignment horizontal="center"/>
    </xf>
    <xf numFmtId="165" fontId="51" fillId="7" borderId="0" xfId="0" applyNumberFormat="1" applyFont="1" applyFill="1" applyAlignment="1">
      <alignment horizontal="center"/>
    </xf>
    <xf numFmtId="165" fontId="27" fillId="7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" fontId="38" fillId="0" borderId="0" xfId="0" applyNumberFormat="1" applyFont="1" applyAlignment="1">
      <alignment horizontal="center"/>
    </xf>
    <xf numFmtId="0" fontId="25" fillId="0" borderId="0" xfId="0" applyFont="1" applyAlignment="1">
      <alignment horizontal="center" vertical="center"/>
    </xf>
    <xf numFmtId="4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 wrapText="1"/>
    </xf>
    <xf numFmtId="2" fontId="39" fillId="0" borderId="1" xfId="0" applyNumberFormat="1" applyFont="1" applyBorder="1" applyAlignment="1">
      <alignment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2" fontId="39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40" fillId="0" borderId="0" xfId="0" applyFont="1"/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38" fillId="0" borderId="0" xfId="0" applyFont="1"/>
    <xf numFmtId="166" fontId="15" fillId="0" borderId="1" xfId="0" applyNumberFormat="1" applyFont="1" applyBorder="1" applyAlignment="1">
      <alignment horizontal="right" vertical="center"/>
    </xf>
    <xf numFmtId="4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4" fontId="36" fillId="0" borderId="1" xfId="0" applyNumberFormat="1" applyFont="1" applyBorder="1" applyAlignment="1">
      <alignment horizontal="center" vertical="center" wrapText="1"/>
    </xf>
    <xf numFmtId="165" fontId="36" fillId="0" borderId="1" xfId="0" applyNumberFormat="1" applyFont="1" applyBorder="1" applyAlignment="1">
      <alignment horizontal="center" vertical="center"/>
    </xf>
    <xf numFmtId="165" fontId="36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right" vertical="center"/>
    </xf>
    <xf numFmtId="4" fontId="37" fillId="0" borderId="1" xfId="0" applyNumberFormat="1" applyFont="1" applyBorder="1" applyAlignment="1">
      <alignment horizontal="center" vertical="center"/>
    </xf>
    <xf numFmtId="165" fontId="37" fillId="0" borderId="1" xfId="0" applyNumberFormat="1" applyFont="1" applyBorder="1" applyAlignment="1">
      <alignment horizontal="center" vertical="center"/>
    </xf>
    <xf numFmtId="0" fontId="41" fillId="0" borderId="0" xfId="0" applyFont="1"/>
    <xf numFmtId="49" fontId="37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4" fontId="15" fillId="0" borderId="1" xfId="0" applyNumberFormat="1" applyFont="1" applyBorder="1"/>
    <xf numFmtId="0" fontId="42" fillId="0" borderId="0" xfId="0" applyFont="1"/>
    <xf numFmtId="165" fontId="15" fillId="0" borderId="1" xfId="0" applyNumberFormat="1" applyFont="1" applyBorder="1"/>
    <xf numFmtId="165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43" fillId="0" borderId="0" xfId="0" applyFont="1"/>
    <xf numFmtId="4" fontId="15" fillId="0" borderId="1" xfId="0" applyNumberFormat="1" applyFont="1" applyBorder="1" applyAlignment="1">
      <alignment vertical="center"/>
    </xf>
    <xf numFmtId="166" fontId="15" fillId="0" borderId="1" xfId="0" applyNumberFormat="1" applyFont="1" applyBorder="1" applyAlignment="1">
      <alignment vertical="center"/>
    </xf>
    <xf numFmtId="0" fontId="44" fillId="0" borderId="0" xfId="0" applyFont="1"/>
    <xf numFmtId="4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/>
    </xf>
    <xf numFmtId="164" fontId="15" fillId="0" borderId="1" xfId="0" applyNumberFormat="1" applyFont="1" applyBorder="1"/>
    <xf numFmtId="4" fontId="39" fillId="0" borderId="1" xfId="0" applyNumberFormat="1" applyFont="1" applyBorder="1"/>
    <xf numFmtId="4" fontId="38" fillId="0" borderId="1" xfId="0" applyNumberFormat="1" applyFont="1" applyBorder="1"/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8" fillId="0" borderId="0" xfId="0" applyFont="1"/>
    <xf numFmtId="4" fontId="47" fillId="0" borderId="0" xfId="0" applyNumberFormat="1" applyFont="1" applyAlignment="1">
      <alignment horizontal="center"/>
    </xf>
    <xf numFmtId="4" fontId="46" fillId="0" borderId="0" xfId="0" applyNumberFormat="1" applyFont="1" applyAlignment="1">
      <alignment horizontal="center"/>
    </xf>
    <xf numFmtId="0" fontId="47" fillId="0" borderId="0" xfId="0" applyFont="1"/>
    <xf numFmtId="165" fontId="46" fillId="0" borderId="0" xfId="0" applyNumberFormat="1" applyFont="1" applyAlignment="1">
      <alignment horizontal="center"/>
    </xf>
    <xf numFmtId="4" fontId="49" fillId="0" borderId="0" xfId="0" applyNumberFormat="1" applyFont="1" applyAlignment="1">
      <alignment horizontal="center"/>
    </xf>
    <xf numFmtId="0" fontId="47" fillId="0" borderId="0" xfId="0" applyFont="1" applyAlignment="1">
      <alignment horizontal="center"/>
    </xf>
    <xf numFmtId="166" fontId="47" fillId="0" borderId="0" xfId="0" applyNumberFormat="1" applyFont="1"/>
    <xf numFmtId="0" fontId="50" fillId="0" borderId="0" xfId="0" applyFont="1" applyAlignment="1">
      <alignment horizontal="center"/>
    </xf>
    <xf numFmtId="0" fontId="51" fillId="0" borderId="0" xfId="0" applyFont="1" applyAlignment="1">
      <alignment horizontal="center" vertical="center"/>
    </xf>
    <xf numFmtId="0" fontId="51" fillId="0" borderId="0" xfId="0" applyFont="1"/>
    <xf numFmtId="4" fontId="51" fillId="0" borderId="0" xfId="0" applyNumberFormat="1" applyFont="1" applyAlignment="1">
      <alignment horizontal="center"/>
    </xf>
    <xf numFmtId="165" fontId="51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/>
    <xf numFmtId="4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54" fillId="0" borderId="1" xfId="0" applyFont="1" applyBorder="1" applyAlignment="1">
      <alignment wrapText="1"/>
    </xf>
    <xf numFmtId="0" fontId="54" fillId="0" borderId="1" xfId="0" applyFont="1" applyBorder="1" applyAlignment="1">
      <alignment horizontal="center" vertical="center" wrapText="1"/>
    </xf>
    <xf numFmtId="1" fontId="54" fillId="0" borderId="1" xfId="0" applyNumberFormat="1" applyFont="1" applyBorder="1" applyAlignment="1">
      <alignment horizontal="center" vertical="center" wrapText="1"/>
    </xf>
    <xf numFmtId="0" fontId="54" fillId="0" borderId="1" xfId="0" applyFont="1" applyBorder="1" applyAlignment="1">
      <alignment vertical="center" wrapText="1"/>
    </xf>
    <xf numFmtId="0" fontId="5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3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7" fillId="0" borderId="5" xfId="0" applyNumberFormat="1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7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4" fontId="37" fillId="0" borderId="1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justify" wrapText="1"/>
    </xf>
    <xf numFmtId="0" fontId="39" fillId="0" borderId="1" xfId="0" applyFont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justify" wrapText="1"/>
    </xf>
    <xf numFmtId="0" fontId="15" fillId="2" borderId="1" xfId="0" applyFont="1" applyFill="1" applyBorder="1" applyAlignment="1">
      <alignment horizontal="center" vertical="center"/>
    </xf>
    <xf numFmtId="49" fontId="37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top" wrapText="1"/>
    </xf>
    <xf numFmtId="0" fontId="15" fillId="2" borderId="7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 wrapText="1"/>
    </xf>
    <xf numFmtId="49" fontId="37" fillId="2" borderId="5" xfId="0" applyNumberFormat="1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7" fillId="2" borderId="5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165" fontId="15" fillId="7" borderId="1" xfId="0" applyNumberFormat="1" applyFont="1" applyFill="1" applyBorder="1" applyAlignment="1">
      <alignment horizontal="center" vertical="center" wrapText="1"/>
    </xf>
    <xf numFmtId="165" fontId="15" fillId="6" borderId="1" xfId="0" applyNumberFormat="1" applyFont="1" applyFill="1" applyBorder="1" applyAlignment="1">
      <alignment horizontal="center" vertical="center" wrapText="1"/>
    </xf>
    <xf numFmtId="165" fontId="15" fillId="3" borderId="5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5" fontId="15" fillId="6" borderId="5" xfId="0" applyNumberFormat="1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4" fontId="39" fillId="2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justify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top" wrapText="1"/>
    </xf>
    <xf numFmtId="0" fontId="0" fillId="2" borderId="7" xfId="0" applyFill="1" applyBorder="1"/>
    <xf numFmtId="0" fontId="0" fillId="2" borderId="6" xfId="0" applyFill="1" applyBorder="1"/>
    <xf numFmtId="49" fontId="16" fillId="2" borderId="5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49" fontId="31" fillId="2" borderId="5" xfId="0" applyNumberFormat="1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31" fillId="2" borderId="5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49" fontId="32" fillId="2" borderId="5" xfId="0" applyNumberFormat="1" applyFont="1" applyFill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49" fontId="16" fillId="2" borderId="6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22" fillId="2" borderId="5" xfId="0" applyNumberFormat="1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justify" wrapText="1"/>
    </xf>
    <xf numFmtId="0" fontId="13" fillId="2" borderId="3" xfId="0" applyFont="1" applyFill="1" applyBorder="1" applyAlignment="1">
      <alignment horizontal="left" vertical="justify" wrapText="1"/>
    </xf>
    <xf numFmtId="0" fontId="13" fillId="2" borderId="4" xfId="0" applyFont="1" applyFill="1" applyBorder="1" applyAlignment="1">
      <alignment horizontal="left" vertical="justify" wrapText="1"/>
    </xf>
    <xf numFmtId="0" fontId="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49" fontId="16" fillId="2" borderId="5" xfId="0" applyNumberFormat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1" fontId="16" fillId="2" borderId="5" xfId="0" applyNumberFormat="1" applyFont="1" applyFill="1" applyBorder="1" applyAlignment="1">
      <alignment horizontal="center" vertical="top"/>
    </xf>
    <xf numFmtId="1" fontId="16" fillId="2" borderId="7" xfId="0" applyNumberFormat="1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2" fontId="14" fillId="2" borderId="1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/>
    <xf numFmtId="0" fontId="13" fillId="0" borderId="0" xfId="0" applyFont="1" applyAlignment="1">
      <alignment horizontal="right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26" xfId="0" applyBorder="1"/>
    <xf numFmtId="0" fontId="13" fillId="0" borderId="25" xfId="0" applyFont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27" xfId="0" applyBorder="1"/>
    <xf numFmtId="0" fontId="14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13"/>
  <sheetViews>
    <sheetView tabSelected="1" view="pageBreakPreview" topLeftCell="B1" zoomScale="53" zoomScaleNormal="60" zoomScaleSheetLayoutView="53" workbookViewId="0">
      <selection activeCell="D10" sqref="D10"/>
    </sheetView>
  </sheetViews>
  <sheetFormatPr defaultColWidth="9.140625" defaultRowHeight="23.25"/>
  <cols>
    <col min="1" max="1" width="8.85546875" style="365" customWidth="1"/>
    <col min="2" max="2" width="67.28515625" style="366" customWidth="1"/>
    <col min="3" max="3" width="17.85546875" style="367" hidden="1" customWidth="1"/>
    <col min="4" max="4" width="21.28515625" style="368" customWidth="1"/>
    <col min="5" max="5" width="28" style="368" hidden="1" customWidth="1"/>
    <col min="6" max="6" width="28.28515625" style="368" hidden="1" customWidth="1"/>
    <col min="7" max="7" width="24.85546875" style="368" bestFit="1" customWidth="1"/>
    <col min="8" max="9" width="28.28515625" style="368" hidden="1" customWidth="1"/>
    <col min="10" max="10" width="24.85546875" style="368" hidden="1" customWidth="1"/>
    <col min="11" max="11" width="24.85546875" style="369" customWidth="1"/>
    <col min="12" max="12" width="22.140625" style="368" hidden="1" customWidth="1"/>
    <col min="13" max="13" width="30.140625" style="369" hidden="1" customWidth="1"/>
    <col min="14" max="14" width="34.140625" style="369" customWidth="1"/>
    <col min="15" max="15" width="23.85546875" style="369" hidden="1" customWidth="1"/>
    <col min="16" max="16" width="34.42578125" style="369" hidden="1" customWidth="1"/>
    <col min="17" max="17" width="34.42578125" style="369" customWidth="1"/>
    <col min="18" max="18" width="34.42578125" style="369" hidden="1" customWidth="1"/>
    <col min="19" max="19" width="34.28515625" style="369" customWidth="1"/>
    <col min="20" max="20" width="38.140625" style="370" customWidth="1"/>
    <col min="21" max="21" width="36.140625" style="399" customWidth="1"/>
    <col min="22" max="22" width="45.85546875" style="367" hidden="1" customWidth="1"/>
    <col min="23" max="23" width="35" style="367" customWidth="1"/>
    <col min="24" max="24" width="42.140625" style="367" customWidth="1"/>
    <col min="25" max="25" width="0.7109375" style="367" hidden="1" customWidth="1"/>
    <col min="26" max="30" width="9.140625" style="367" hidden="1" customWidth="1"/>
    <col min="31" max="31" width="6.85546875" style="367" customWidth="1"/>
    <col min="32" max="16384" width="9.140625" style="367"/>
  </cols>
  <sheetData>
    <row r="1" spans="1:24" ht="13.9" customHeight="1">
      <c r="U1" s="444"/>
      <c r="V1" s="444"/>
      <c r="W1" s="444"/>
      <c r="X1" s="444"/>
    </row>
    <row r="2" spans="1:24" ht="8.4499999999999993" hidden="1" customHeight="1">
      <c r="U2" s="444"/>
      <c r="V2" s="444"/>
      <c r="W2" s="444"/>
      <c r="X2" s="444"/>
    </row>
    <row r="3" spans="1:24" ht="27" hidden="1" customHeight="1">
      <c r="U3" s="444"/>
      <c r="V3" s="444"/>
      <c r="W3" s="444"/>
      <c r="X3" s="444"/>
    </row>
    <row r="4" spans="1:24" ht="8.4499999999999993" hidden="1" customHeight="1">
      <c r="U4" s="444"/>
      <c r="V4" s="444"/>
      <c r="W4" s="444"/>
      <c r="X4" s="444"/>
    </row>
    <row r="5" spans="1:24" ht="21.6" hidden="1" customHeight="1">
      <c r="T5" s="372"/>
      <c r="U5" s="371"/>
      <c r="V5" s="373"/>
      <c r="W5" s="373"/>
      <c r="X5" s="373"/>
    </row>
    <row r="6" spans="1:24" ht="31.5" customHeight="1">
      <c r="U6" s="444" t="s">
        <v>162</v>
      </c>
      <c r="V6" s="444"/>
      <c r="W6" s="444"/>
      <c r="X6" s="444"/>
    </row>
    <row r="7" spans="1:24" ht="27.75" customHeight="1">
      <c r="U7" s="444" t="s">
        <v>161</v>
      </c>
      <c r="V7" s="444"/>
      <c r="W7" s="444"/>
      <c r="X7" s="444"/>
    </row>
    <row r="8" spans="1:24" ht="27.75" customHeight="1">
      <c r="T8" s="372"/>
      <c r="U8" s="371"/>
      <c r="V8" s="371"/>
      <c r="W8" s="371"/>
      <c r="X8" s="371"/>
    </row>
    <row r="9" spans="1:24" ht="57" customHeight="1">
      <c r="A9" s="447" t="s">
        <v>234</v>
      </c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</row>
    <row r="10" spans="1:24" s="408" customFormat="1" ht="60.75" customHeight="1">
      <c r="A10" s="443" t="s">
        <v>235</v>
      </c>
      <c r="B10" s="442" t="s">
        <v>2</v>
      </c>
      <c r="C10" s="439"/>
      <c r="D10" s="440">
        <v>2023</v>
      </c>
      <c r="E10" s="440"/>
      <c r="F10" s="440"/>
      <c r="G10" s="440">
        <v>2024</v>
      </c>
      <c r="H10" s="440"/>
      <c r="I10" s="440"/>
      <c r="J10" s="440"/>
      <c r="K10" s="441">
        <v>2025</v>
      </c>
      <c r="L10" s="441"/>
      <c r="M10" s="441"/>
      <c r="N10" s="441">
        <v>2026</v>
      </c>
      <c r="O10" s="441"/>
      <c r="P10" s="441"/>
      <c r="Q10" s="441">
        <v>2027</v>
      </c>
      <c r="R10" s="441"/>
      <c r="S10" s="441">
        <v>2028</v>
      </c>
      <c r="T10" s="440" t="s">
        <v>3</v>
      </c>
      <c r="U10" s="442" t="s">
        <v>4</v>
      </c>
      <c r="V10" s="439"/>
      <c r="W10" s="442" t="s">
        <v>160</v>
      </c>
      <c r="X10" s="440" t="s">
        <v>5</v>
      </c>
    </row>
    <row r="11" spans="1:24" ht="24.75" hidden="1">
      <c r="A11" s="448" t="s">
        <v>1</v>
      </c>
      <c r="B11" s="83"/>
      <c r="C11" s="376"/>
      <c r="D11" s="445" t="s">
        <v>164</v>
      </c>
      <c r="E11" s="378"/>
      <c r="F11" s="378"/>
      <c r="G11" s="445" t="s">
        <v>142</v>
      </c>
      <c r="H11" s="378"/>
      <c r="I11" s="378"/>
      <c r="J11" s="445" t="s">
        <v>143</v>
      </c>
      <c r="K11" s="449" t="s">
        <v>229</v>
      </c>
      <c r="L11" s="451" t="s">
        <v>72</v>
      </c>
      <c r="M11" s="449" t="s">
        <v>144</v>
      </c>
      <c r="N11" s="449" t="s">
        <v>230</v>
      </c>
      <c r="O11" s="449" t="s">
        <v>198</v>
      </c>
      <c r="P11" s="449" t="s">
        <v>188</v>
      </c>
      <c r="Q11" s="379"/>
      <c r="R11" s="379"/>
      <c r="S11" s="449" t="s">
        <v>224</v>
      </c>
      <c r="T11" s="445" t="s">
        <v>3</v>
      </c>
      <c r="U11" s="446" t="s">
        <v>4</v>
      </c>
      <c r="V11" s="446" t="s">
        <v>4</v>
      </c>
      <c r="W11" s="446" t="s">
        <v>160</v>
      </c>
      <c r="X11" s="459" t="s">
        <v>5</v>
      </c>
    </row>
    <row r="12" spans="1:24" ht="46.5" hidden="1" customHeight="1">
      <c r="A12" s="448"/>
      <c r="B12" s="83"/>
      <c r="C12" s="375" t="s">
        <v>80</v>
      </c>
      <c r="D12" s="445"/>
      <c r="E12" s="377" t="s">
        <v>72</v>
      </c>
      <c r="F12" s="377" t="s">
        <v>130</v>
      </c>
      <c r="G12" s="445"/>
      <c r="H12" s="377" t="s">
        <v>72</v>
      </c>
      <c r="I12" s="377" t="s">
        <v>131</v>
      </c>
      <c r="J12" s="445"/>
      <c r="K12" s="450"/>
      <c r="L12" s="452"/>
      <c r="M12" s="449"/>
      <c r="N12" s="450"/>
      <c r="O12" s="450"/>
      <c r="P12" s="449"/>
      <c r="Q12" s="379"/>
      <c r="R12" s="379"/>
      <c r="S12" s="449"/>
      <c r="T12" s="445"/>
      <c r="U12" s="446"/>
      <c r="V12" s="446"/>
      <c r="W12" s="446"/>
      <c r="X12" s="459"/>
    </row>
    <row r="13" spans="1:24" s="380" customFormat="1" ht="42.75" customHeight="1">
      <c r="A13" s="460" t="s">
        <v>6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</row>
    <row r="14" spans="1:24" s="383" customFormat="1" ht="54.75" customHeight="1">
      <c r="A14" s="461" t="s">
        <v>125</v>
      </c>
      <c r="B14" s="461"/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  <c r="U14" s="461"/>
      <c r="V14" s="461"/>
      <c r="W14" s="461"/>
      <c r="X14" s="462" t="s">
        <v>165</v>
      </c>
    </row>
    <row r="15" spans="1:24" s="383" customFormat="1" ht="107.25" customHeight="1">
      <c r="A15" s="465" t="s">
        <v>222</v>
      </c>
      <c r="B15" s="465"/>
      <c r="C15" s="465"/>
      <c r="D15" s="465"/>
      <c r="E15" s="465"/>
      <c r="F15" s="465"/>
      <c r="G15" s="465"/>
      <c r="H15" s="465"/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3"/>
    </row>
    <row r="16" spans="1:24" ht="107.25" customHeight="1">
      <c r="A16" s="466">
        <v>1</v>
      </c>
      <c r="B16" s="456" t="s">
        <v>31</v>
      </c>
      <c r="C16" s="384">
        <f>C23+C27+C28+C29+C30+C31</f>
        <v>23003.7</v>
      </c>
      <c r="D16" s="385">
        <f>D23+D27+D28+D29+D30+D31</f>
        <v>28774.5</v>
      </c>
      <c r="E16" s="385">
        <f>E23+E27+E28+E29+E30+E31</f>
        <v>5770.8</v>
      </c>
      <c r="F16" s="385">
        <f>F23+F27+F28+F29+F30+F31</f>
        <v>19980.199999999997</v>
      </c>
      <c r="G16" s="386">
        <v>51262.540999999997</v>
      </c>
      <c r="H16" s="385"/>
      <c r="I16" s="385">
        <f>I23+I27+I28+I29+I30+I31</f>
        <v>19980.199999999997</v>
      </c>
      <c r="J16" s="386">
        <f>J23+J27+J28+J29+J30+J31+J33</f>
        <v>36044.949999999997</v>
      </c>
      <c r="K16" s="386">
        <f>K23+K27+K28+K29+K30+K31+K33+K50</f>
        <v>41411.382400000002</v>
      </c>
      <c r="L16" s="386"/>
      <c r="M16" s="386">
        <f>M23+M27+M28+M29+M30+M31</f>
        <v>30024.5</v>
      </c>
      <c r="N16" s="386">
        <f>N23+N27+N28+N29+N30+N31+N33</f>
        <v>38970.899999999994</v>
      </c>
      <c r="O16" s="386"/>
      <c r="P16" s="386">
        <f>P23+P27+P28+P29+P30+P31</f>
        <v>30024.6</v>
      </c>
      <c r="Q16" s="386">
        <f>Q23+Q27+Q28+Q29+Q30+Q31+Q25+Q33</f>
        <v>38974.199999999997</v>
      </c>
      <c r="R16" s="386">
        <f t="shared" ref="R16:S16" si="0">R23+R27+R28+R29+R30+R31+R25+R33</f>
        <v>0</v>
      </c>
      <c r="S16" s="386">
        <f t="shared" si="0"/>
        <v>38974.299999999996</v>
      </c>
      <c r="T16" s="386">
        <f>G16+K16+N16+Q16+S16+D16</f>
        <v>238367.82339999999</v>
      </c>
      <c r="U16" s="375" t="s">
        <v>7</v>
      </c>
      <c r="V16" s="375"/>
      <c r="W16" s="375" t="s">
        <v>159</v>
      </c>
      <c r="X16" s="463"/>
    </row>
    <row r="17" spans="1:24" ht="46.5" customHeight="1">
      <c r="A17" s="467"/>
      <c r="B17" s="469"/>
      <c r="C17" s="384">
        <f>C24</f>
        <v>2584.5</v>
      </c>
      <c r="D17" s="385">
        <f>D24</f>
        <v>2834.5</v>
      </c>
      <c r="E17" s="385">
        <f>E24</f>
        <v>250</v>
      </c>
      <c r="F17" s="385">
        <f>F24</f>
        <v>2584.5</v>
      </c>
      <c r="G17" s="386">
        <v>2734.7</v>
      </c>
      <c r="H17" s="385"/>
      <c r="I17" s="385">
        <f>I24</f>
        <v>2584.5</v>
      </c>
      <c r="J17" s="386">
        <f>J24+J34+J57</f>
        <v>3426.4532799999997</v>
      </c>
      <c r="K17" s="386">
        <f>K24+K34+K57</f>
        <v>3426.4532799999997</v>
      </c>
      <c r="L17" s="386"/>
      <c r="M17" s="386">
        <f>M24+M41</f>
        <v>2664.9775</v>
      </c>
      <c r="N17" s="386">
        <f>N24+N41+N34</f>
        <v>6442.82366</v>
      </c>
      <c r="O17" s="386"/>
      <c r="P17" s="386">
        <f t="shared" ref="P17" si="1">P24+P41+P34</f>
        <v>2664.9775</v>
      </c>
      <c r="Q17" s="386">
        <f>Q24+Q41+Q34+Q26</f>
        <v>9699.3845000000001</v>
      </c>
      <c r="R17" s="386">
        <f t="shared" ref="R17:S17" si="2">R24+R41+R34+R26</f>
        <v>0</v>
      </c>
      <c r="S17" s="386">
        <f t="shared" si="2"/>
        <v>9796.8717499999984</v>
      </c>
      <c r="T17" s="386">
        <f t="shared" ref="T17:T60" si="3">G17+K17+N17+Q17+S17+D17</f>
        <v>34934.733189999999</v>
      </c>
      <c r="U17" s="375" t="s">
        <v>8</v>
      </c>
      <c r="V17" s="375"/>
      <c r="W17" s="379"/>
      <c r="X17" s="463"/>
    </row>
    <row r="18" spans="1:24" ht="46.5" customHeight="1">
      <c r="A18" s="468"/>
      <c r="B18" s="470"/>
      <c r="C18" s="384"/>
      <c r="D18" s="385">
        <v>0</v>
      </c>
      <c r="E18" s="385"/>
      <c r="F18" s="385"/>
      <c r="G18" s="386">
        <v>0</v>
      </c>
      <c r="H18" s="385"/>
      <c r="I18" s="385"/>
      <c r="J18" s="386">
        <f>J35</f>
        <v>2699.7777799999999</v>
      </c>
      <c r="K18" s="386">
        <f>K35</f>
        <v>2699.7777799999999</v>
      </c>
      <c r="L18" s="386"/>
      <c r="M18" s="386">
        <v>0</v>
      </c>
      <c r="N18" s="386">
        <v>0</v>
      </c>
      <c r="O18" s="386"/>
      <c r="P18" s="386">
        <v>0</v>
      </c>
      <c r="Q18" s="386">
        <v>0</v>
      </c>
      <c r="R18" s="386">
        <v>0</v>
      </c>
      <c r="S18" s="386">
        <v>0</v>
      </c>
      <c r="T18" s="386">
        <f t="shared" si="3"/>
        <v>2699.7777799999999</v>
      </c>
      <c r="U18" s="375" t="s">
        <v>9</v>
      </c>
      <c r="V18" s="375"/>
      <c r="W18" s="375"/>
      <c r="X18" s="463"/>
    </row>
    <row r="19" spans="1:24" ht="108.75" customHeight="1">
      <c r="A19" s="39"/>
      <c r="B19" s="388" t="s">
        <v>37</v>
      </c>
      <c r="C19" s="384">
        <f>C17+C16</f>
        <v>25588.2</v>
      </c>
      <c r="D19" s="385">
        <f>D17+D16</f>
        <v>31609</v>
      </c>
      <c r="E19" s="385">
        <f t="shared" ref="E19:I19" si="4">E17+E16</f>
        <v>6020.8</v>
      </c>
      <c r="F19" s="385">
        <f t="shared" si="4"/>
        <v>22564.699999999997</v>
      </c>
      <c r="G19" s="386">
        <f>G16+G17+G18</f>
        <v>53997.240999999995</v>
      </c>
      <c r="H19" s="385">
        <f t="shared" si="4"/>
        <v>0</v>
      </c>
      <c r="I19" s="385">
        <f t="shared" si="4"/>
        <v>22564.699999999997</v>
      </c>
      <c r="J19" s="386">
        <f>J17+J16+J18</f>
        <v>42171.181059999995</v>
      </c>
      <c r="K19" s="386">
        <f>K17+K16+K18</f>
        <v>47537.61346</v>
      </c>
      <c r="L19" s="386">
        <f>K19-J19</f>
        <v>5366.4324000000051</v>
      </c>
      <c r="M19" s="386">
        <f>M17+M16+M18</f>
        <v>32689.477500000001</v>
      </c>
      <c r="N19" s="386">
        <f t="shared" ref="N19:S19" si="5">N17+N16+N18</f>
        <v>45413.723659999996</v>
      </c>
      <c r="O19" s="386">
        <f t="shared" si="5"/>
        <v>0</v>
      </c>
      <c r="P19" s="386">
        <f t="shared" si="5"/>
        <v>32689.577499999999</v>
      </c>
      <c r="Q19" s="386">
        <f>Q17+Q16+Q18</f>
        <v>48673.584499999997</v>
      </c>
      <c r="R19" s="386">
        <f t="shared" si="5"/>
        <v>0</v>
      </c>
      <c r="S19" s="386">
        <f t="shared" si="5"/>
        <v>48771.171749999994</v>
      </c>
      <c r="T19" s="386">
        <f t="shared" si="3"/>
        <v>276002.33437</v>
      </c>
      <c r="U19" s="375"/>
      <c r="V19" s="375"/>
      <c r="W19" s="375"/>
      <c r="X19" s="463"/>
    </row>
    <row r="20" spans="1:24" ht="35.25" customHeight="1">
      <c r="A20" s="39"/>
      <c r="B20" s="388" t="s">
        <v>10</v>
      </c>
      <c r="C20" s="384"/>
      <c r="D20" s="389">
        <v>31609</v>
      </c>
      <c r="E20" s="389"/>
      <c r="F20" s="389"/>
      <c r="G20" s="390"/>
      <c r="H20" s="389"/>
      <c r="I20" s="389"/>
      <c r="J20" s="391">
        <v>42171.181060000003</v>
      </c>
      <c r="K20" s="391"/>
      <c r="L20" s="391"/>
      <c r="M20" s="391">
        <v>37689.477500000001</v>
      </c>
      <c r="N20" s="391"/>
      <c r="O20" s="391"/>
      <c r="P20" s="391">
        <v>37689.577499999999</v>
      </c>
      <c r="Q20" s="391"/>
      <c r="R20" s="391"/>
      <c r="S20" s="391"/>
      <c r="T20" s="390">
        <f t="shared" si="3"/>
        <v>31609</v>
      </c>
      <c r="U20" s="375"/>
      <c r="V20" s="381"/>
      <c r="W20" s="381"/>
      <c r="X20" s="463"/>
    </row>
    <row r="21" spans="1:24" ht="24" hidden="1" customHeight="1">
      <c r="A21" s="39"/>
      <c r="B21" s="388"/>
      <c r="C21" s="384"/>
      <c r="D21" s="377">
        <f>D20-D19</f>
        <v>0</v>
      </c>
      <c r="E21" s="377"/>
      <c r="F21" s="377"/>
      <c r="G21" s="386"/>
      <c r="H21" s="377"/>
      <c r="I21" s="377"/>
      <c r="J21" s="379">
        <f>J20-J19</f>
        <v>0</v>
      </c>
      <c r="K21" s="379"/>
      <c r="L21" s="379">
        <f t="shared" ref="L21:M21" si="6">L20-L19</f>
        <v>-5366.4324000000051</v>
      </c>
      <c r="M21" s="379">
        <f t="shared" si="6"/>
        <v>5000</v>
      </c>
      <c r="N21" s="379"/>
      <c r="O21" s="379"/>
      <c r="P21" s="379">
        <f>P20-P19</f>
        <v>5000</v>
      </c>
      <c r="Q21" s="379"/>
      <c r="R21" s="379"/>
      <c r="S21" s="379"/>
      <c r="T21" s="386">
        <f t="shared" si="3"/>
        <v>0</v>
      </c>
      <c r="U21" s="375"/>
      <c r="V21" s="381"/>
      <c r="W21" s="381"/>
      <c r="X21" s="463"/>
    </row>
    <row r="22" spans="1:24" ht="24" hidden="1" customHeight="1">
      <c r="A22" s="39"/>
      <c r="B22" s="388"/>
      <c r="C22" s="384"/>
      <c r="D22" s="377"/>
      <c r="E22" s="377"/>
      <c r="F22" s="377"/>
      <c r="G22" s="386"/>
      <c r="H22" s="377"/>
      <c r="I22" s="377"/>
      <c r="J22" s="379"/>
      <c r="K22" s="379"/>
      <c r="L22" s="379"/>
      <c r="M22" s="379"/>
      <c r="N22" s="379"/>
      <c r="O22" s="379"/>
      <c r="P22" s="379"/>
      <c r="Q22" s="379"/>
      <c r="R22" s="379"/>
      <c r="S22" s="379"/>
      <c r="T22" s="386">
        <f t="shared" si="3"/>
        <v>0</v>
      </c>
      <c r="U22" s="375"/>
      <c r="V22" s="381"/>
      <c r="W22" s="381"/>
      <c r="X22" s="463"/>
    </row>
    <row r="23" spans="1:24" ht="66.75" customHeight="1">
      <c r="A23" s="471" t="s">
        <v>11</v>
      </c>
      <c r="B23" s="472" t="s">
        <v>231</v>
      </c>
      <c r="C23" s="384">
        <v>100</v>
      </c>
      <c r="D23" s="385">
        <v>100</v>
      </c>
      <c r="E23" s="385">
        <f t="shared" ref="E23:E47" si="7">D23-C23</f>
        <v>0</v>
      </c>
      <c r="F23" s="385">
        <v>100</v>
      </c>
      <c r="G23" s="386">
        <v>2.7</v>
      </c>
      <c r="H23" s="385">
        <f>G23-F23</f>
        <v>-97.3</v>
      </c>
      <c r="I23" s="385">
        <v>100</v>
      </c>
      <c r="J23" s="386">
        <v>3</v>
      </c>
      <c r="K23" s="386">
        <v>2.6676500000000001</v>
      </c>
      <c r="L23" s="386">
        <f>K23-J23</f>
        <v>-0.33234999999999992</v>
      </c>
      <c r="M23" s="386">
        <f>J23</f>
        <v>3</v>
      </c>
      <c r="N23" s="386">
        <v>2.2999999999999998</v>
      </c>
      <c r="O23" s="386"/>
      <c r="P23" s="386">
        <f>J23</f>
        <v>3</v>
      </c>
      <c r="Q23" s="386">
        <v>5</v>
      </c>
      <c r="R23" s="386"/>
      <c r="S23" s="386">
        <v>5</v>
      </c>
      <c r="T23" s="386">
        <f t="shared" si="3"/>
        <v>117.66765000000001</v>
      </c>
      <c r="U23" s="375" t="s">
        <v>12</v>
      </c>
      <c r="V23" s="446" t="s">
        <v>134</v>
      </c>
      <c r="W23" s="375"/>
      <c r="X23" s="463"/>
    </row>
    <row r="24" spans="1:24" ht="55.5" customHeight="1">
      <c r="A24" s="460"/>
      <c r="B24" s="472"/>
      <c r="C24" s="384">
        <v>2584.5</v>
      </c>
      <c r="D24" s="385">
        <v>2834.5</v>
      </c>
      <c r="E24" s="385">
        <f t="shared" si="7"/>
        <v>250</v>
      </c>
      <c r="F24" s="385">
        <v>2584.5</v>
      </c>
      <c r="G24" s="386">
        <v>2734.7</v>
      </c>
      <c r="H24" s="385">
        <f>G24-F24</f>
        <v>150.19999999999982</v>
      </c>
      <c r="I24" s="385">
        <v>2584.5</v>
      </c>
      <c r="J24" s="386">
        <v>2664.9775</v>
      </c>
      <c r="K24" s="386">
        <v>2664.9775</v>
      </c>
      <c r="L24" s="386">
        <f t="shared" ref="L24:L61" si="8">K24-J24</f>
        <v>0</v>
      </c>
      <c r="M24" s="386">
        <f>J24</f>
        <v>2664.9775</v>
      </c>
      <c r="N24" s="386">
        <v>2248.9019600000001</v>
      </c>
      <c r="O24" s="386"/>
      <c r="P24" s="386">
        <f>J24</f>
        <v>2664.9775</v>
      </c>
      <c r="Q24" s="386">
        <v>4952.8301899999997</v>
      </c>
      <c r="R24" s="386"/>
      <c r="S24" s="386">
        <v>4952.8301899999997</v>
      </c>
      <c r="T24" s="386">
        <f t="shared" si="3"/>
        <v>20388.739839999998</v>
      </c>
      <c r="U24" s="375" t="s">
        <v>8</v>
      </c>
      <c r="V24" s="473"/>
      <c r="W24" s="393"/>
      <c r="X24" s="463"/>
    </row>
    <row r="25" spans="1:24" ht="55.5" customHeight="1">
      <c r="A25" s="39"/>
      <c r="B25" s="474" t="s">
        <v>232</v>
      </c>
      <c r="C25" s="384"/>
      <c r="D25" s="385"/>
      <c r="E25" s="385"/>
      <c r="F25" s="385"/>
      <c r="G25" s="386"/>
      <c r="H25" s="385"/>
      <c r="I25" s="385"/>
      <c r="J25" s="386"/>
      <c r="K25" s="386"/>
      <c r="L25" s="386"/>
      <c r="M25" s="386"/>
      <c r="N25" s="386">
        <v>0</v>
      </c>
      <c r="O25" s="386"/>
      <c r="P25" s="386"/>
      <c r="Q25" s="386">
        <v>0.5</v>
      </c>
      <c r="R25" s="386"/>
      <c r="S25" s="386">
        <v>0.5</v>
      </c>
      <c r="T25" s="386">
        <f t="shared" si="3"/>
        <v>1</v>
      </c>
      <c r="U25" s="375"/>
      <c r="V25" s="393"/>
      <c r="W25" s="393"/>
      <c r="X25" s="463"/>
    </row>
    <row r="26" spans="1:24" ht="55.5" customHeight="1">
      <c r="A26" s="39"/>
      <c r="B26" s="475"/>
      <c r="C26" s="384"/>
      <c r="D26" s="385"/>
      <c r="E26" s="385"/>
      <c r="F26" s="385"/>
      <c r="G26" s="386"/>
      <c r="H26" s="385"/>
      <c r="I26" s="385"/>
      <c r="J26" s="386"/>
      <c r="K26" s="386"/>
      <c r="L26" s="386"/>
      <c r="M26" s="386"/>
      <c r="N26" s="386">
        <v>0</v>
      </c>
      <c r="O26" s="386"/>
      <c r="P26" s="386"/>
      <c r="Q26" s="386">
        <v>450</v>
      </c>
      <c r="R26" s="386"/>
      <c r="S26" s="386">
        <v>450</v>
      </c>
      <c r="T26" s="386">
        <f t="shared" si="3"/>
        <v>900</v>
      </c>
      <c r="U26" s="375"/>
      <c r="V26" s="393"/>
      <c r="W26" s="393"/>
      <c r="X26" s="463"/>
    </row>
    <row r="27" spans="1:24" ht="79.5" customHeight="1">
      <c r="A27" s="392" t="s">
        <v>13</v>
      </c>
      <c r="B27" s="388" t="s">
        <v>187</v>
      </c>
      <c r="C27" s="384">
        <v>2358.6999999999998</v>
      </c>
      <c r="D27" s="385">
        <v>1996</v>
      </c>
      <c r="E27" s="385">
        <f t="shared" si="7"/>
        <v>-362.69999999999982</v>
      </c>
      <c r="F27" s="385">
        <v>2056.1</v>
      </c>
      <c r="G27" s="386">
        <v>3413.52</v>
      </c>
      <c r="H27" s="385">
        <f t="shared" ref="H27:H46" si="9">G27-F27</f>
        <v>1357.42</v>
      </c>
      <c r="I27" s="385">
        <v>2056.1</v>
      </c>
      <c r="J27" s="386">
        <f>3321.3+'поясеительная+'!M19</f>
        <v>3400.68</v>
      </c>
      <c r="K27" s="386">
        <v>3698.28</v>
      </c>
      <c r="L27" s="386">
        <f t="shared" si="8"/>
        <v>297.60000000000036</v>
      </c>
      <c r="M27" s="386">
        <v>3321.3</v>
      </c>
      <c r="N27" s="386">
        <v>3321.3</v>
      </c>
      <c r="O27" s="386"/>
      <c r="P27" s="386">
        <v>3321.3</v>
      </c>
      <c r="Q27" s="386">
        <v>3321.3</v>
      </c>
      <c r="R27" s="386"/>
      <c r="S27" s="386">
        <v>3321.3</v>
      </c>
      <c r="T27" s="386">
        <f t="shared" si="3"/>
        <v>19071.7</v>
      </c>
      <c r="U27" s="375" t="s">
        <v>12</v>
      </c>
      <c r="V27" s="375" t="s">
        <v>128</v>
      </c>
      <c r="W27" s="375"/>
      <c r="X27" s="463"/>
    </row>
    <row r="28" spans="1:24" ht="105" customHeight="1">
      <c r="A28" s="392" t="s">
        <v>14</v>
      </c>
      <c r="B28" s="388" t="s">
        <v>177</v>
      </c>
      <c r="C28" s="384">
        <v>11117.2</v>
      </c>
      <c r="D28" s="385">
        <v>12059.5</v>
      </c>
      <c r="E28" s="385">
        <f t="shared" si="7"/>
        <v>942.29999999999927</v>
      </c>
      <c r="F28" s="385">
        <v>8452.5</v>
      </c>
      <c r="G28" s="386">
        <v>14827</v>
      </c>
      <c r="H28" s="385">
        <f t="shared" si="9"/>
        <v>6374.5</v>
      </c>
      <c r="I28" s="385">
        <v>8452.5</v>
      </c>
      <c r="J28" s="386">
        <f>14500+'поясеительная+'!M20</f>
        <v>15648.82</v>
      </c>
      <c r="K28" s="386">
        <v>16926.22</v>
      </c>
      <c r="L28" s="386">
        <f t="shared" si="8"/>
        <v>1277.4000000000015</v>
      </c>
      <c r="M28" s="386">
        <v>14500</v>
      </c>
      <c r="N28" s="386">
        <v>16567.8</v>
      </c>
      <c r="O28" s="386"/>
      <c r="P28" s="386">
        <v>14500</v>
      </c>
      <c r="Q28" s="386">
        <v>16567.8</v>
      </c>
      <c r="R28" s="386"/>
      <c r="S28" s="386">
        <v>16567.8</v>
      </c>
      <c r="T28" s="386">
        <f t="shared" si="3"/>
        <v>93516.12000000001</v>
      </c>
      <c r="U28" s="375" t="s">
        <v>12</v>
      </c>
      <c r="V28" s="375"/>
      <c r="W28" s="375"/>
      <c r="X28" s="463"/>
    </row>
    <row r="29" spans="1:24" ht="60.75" customHeight="1">
      <c r="A29" s="392" t="s">
        <v>15</v>
      </c>
      <c r="B29" s="388" t="s">
        <v>196</v>
      </c>
      <c r="C29" s="384">
        <v>3000</v>
      </c>
      <c r="D29" s="385">
        <v>3500</v>
      </c>
      <c r="E29" s="385">
        <f t="shared" si="7"/>
        <v>500</v>
      </c>
      <c r="F29" s="385">
        <v>6000</v>
      </c>
      <c r="G29" s="386">
        <v>500</v>
      </c>
      <c r="H29" s="385">
        <f t="shared" si="9"/>
        <v>-5500</v>
      </c>
      <c r="I29" s="385">
        <v>6000</v>
      </c>
      <c r="J29" s="386">
        <v>5000</v>
      </c>
      <c r="K29" s="386">
        <v>5000</v>
      </c>
      <c r="L29" s="386">
        <f t="shared" si="8"/>
        <v>0</v>
      </c>
      <c r="M29" s="386"/>
      <c r="N29" s="386">
        <v>5000</v>
      </c>
      <c r="O29" s="386"/>
      <c r="P29" s="386"/>
      <c r="Q29" s="386">
        <v>5000</v>
      </c>
      <c r="R29" s="386"/>
      <c r="S29" s="386">
        <v>5000</v>
      </c>
      <c r="T29" s="386">
        <f t="shared" si="3"/>
        <v>24000</v>
      </c>
      <c r="U29" s="375" t="s">
        <v>12</v>
      </c>
      <c r="V29" s="375" t="s">
        <v>135</v>
      </c>
      <c r="W29" s="375"/>
      <c r="X29" s="463"/>
    </row>
    <row r="30" spans="1:24" ht="72.75" customHeight="1">
      <c r="A30" s="392" t="s">
        <v>16</v>
      </c>
      <c r="B30" s="388" t="s">
        <v>178</v>
      </c>
      <c r="C30" s="384">
        <v>5861</v>
      </c>
      <c r="D30" s="385">
        <v>10552.2</v>
      </c>
      <c r="E30" s="385">
        <f t="shared" si="7"/>
        <v>4691.2000000000007</v>
      </c>
      <c r="F30" s="385">
        <v>3371.6</v>
      </c>
      <c r="G30" s="386">
        <v>18953.221000000001</v>
      </c>
      <c r="H30" s="385">
        <f t="shared" si="9"/>
        <v>15581.621000000001</v>
      </c>
      <c r="I30" s="385">
        <v>3371.6</v>
      </c>
      <c r="J30" s="386">
        <f>16720.3-5000+'поясеительная+'!M22</f>
        <v>11509.449999999999</v>
      </c>
      <c r="K30" s="386">
        <f>20193.91-5000+106.84</f>
        <v>15300.75</v>
      </c>
      <c r="L30" s="386">
        <f t="shared" si="8"/>
        <v>3791.3000000000011</v>
      </c>
      <c r="M30" s="386">
        <v>11720.2</v>
      </c>
      <c r="N30" s="386">
        <f>18720.3+175-5000</f>
        <v>13895.3</v>
      </c>
      <c r="O30" s="386"/>
      <c r="P30" s="386">
        <f>J30+219.85-9</f>
        <v>11720.3</v>
      </c>
      <c r="Q30" s="386">
        <f>18420.3+175-5000</f>
        <v>13595.3</v>
      </c>
      <c r="R30" s="386"/>
      <c r="S30" s="386">
        <f>18420.3+175-5000</f>
        <v>13595.3</v>
      </c>
      <c r="T30" s="386">
        <f t="shared" si="3"/>
        <v>85892.071000000011</v>
      </c>
      <c r="U30" s="375" t="s">
        <v>12</v>
      </c>
      <c r="V30" s="377" t="s">
        <v>136</v>
      </c>
      <c r="W30" s="377"/>
      <c r="X30" s="463"/>
    </row>
    <row r="31" spans="1:24" ht="104.25" customHeight="1">
      <c r="A31" s="392" t="s">
        <v>17</v>
      </c>
      <c r="B31" s="388" t="s">
        <v>190</v>
      </c>
      <c r="C31" s="384">
        <v>566.79999999999995</v>
      </c>
      <c r="D31" s="385">
        <v>566.79999999999995</v>
      </c>
      <c r="E31" s="385">
        <f t="shared" si="7"/>
        <v>0</v>
      </c>
      <c r="F31" s="385">
        <v>0</v>
      </c>
      <c r="G31" s="386">
        <v>540</v>
      </c>
      <c r="H31" s="385">
        <f t="shared" si="9"/>
        <v>540</v>
      </c>
      <c r="I31" s="385">
        <v>0</v>
      </c>
      <c r="J31" s="386">
        <v>480</v>
      </c>
      <c r="K31" s="386">
        <v>480</v>
      </c>
      <c r="L31" s="386">
        <f t="shared" si="8"/>
        <v>0</v>
      </c>
      <c r="M31" s="386">
        <f t="shared" ref="M31" si="10">J31</f>
        <v>480</v>
      </c>
      <c r="N31" s="386">
        <v>180</v>
      </c>
      <c r="O31" s="386"/>
      <c r="P31" s="386">
        <f>J31</f>
        <v>480</v>
      </c>
      <c r="Q31" s="386">
        <v>480</v>
      </c>
      <c r="R31" s="386"/>
      <c r="S31" s="386">
        <v>480</v>
      </c>
      <c r="T31" s="386">
        <f t="shared" si="3"/>
        <v>2726.8</v>
      </c>
      <c r="U31" s="375" t="s">
        <v>12</v>
      </c>
      <c r="V31" s="375"/>
      <c r="W31" s="375"/>
      <c r="X31" s="463"/>
    </row>
    <row r="32" spans="1:24" ht="120" customHeight="1">
      <c r="A32" s="392" t="s">
        <v>18</v>
      </c>
      <c r="B32" s="388" t="s">
        <v>184</v>
      </c>
      <c r="C32" s="384"/>
      <c r="D32" s="385">
        <v>0</v>
      </c>
      <c r="E32" s="385"/>
      <c r="F32" s="385"/>
      <c r="G32" s="386">
        <v>13026.1</v>
      </c>
      <c r="H32" s="385"/>
      <c r="I32" s="385"/>
      <c r="J32" s="386">
        <v>0</v>
      </c>
      <c r="K32" s="386"/>
      <c r="L32" s="386">
        <f t="shared" si="8"/>
        <v>0</v>
      </c>
      <c r="M32" s="386">
        <v>0</v>
      </c>
      <c r="N32" s="386">
        <v>0</v>
      </c>
      <c r="O32" s="386"/>
      <c r="P32" s="386">
        <v>0</v>
      </c>
      <c r="Q32" s="386">
        <v>0</v>
      </c>
      <c r="R32" s="386"/>
      <c r="S32" s="386">
        <v>0</v>
      </c>
      <c r="T32" s="386">
        <f t="shared" si="3"/>
        <v>13026.1</v>
      </c>
      <c r="U32" s="375" t="s">
        <v>12</v>
      </c>
      <c r="V32" s="375"/>
      <c r="W32" s="375"/>
      <c r="X32" s="463"/>
    </row>
    <row r="33" spans="1:24" ht="24">
      <c r="A33" s="476" t="s">
        <v>19</v>
      </c>
      <c r="B33" s="456" t="s">
        <v>189</v>
      </c>
      <c r="C33" s="384"/>
      <c r="D33" s="385">
        <v>0</v>
      </c>
      <c r="E33" s="385"/>
      <c r="F33" s="385"/>
      <c r="G33" s="386">
        <v>0</v>
      </c>
      <c r="H33" s="385"/>
      <c r="I33" s="385"/>
      <c r="J33" s="386">
        <v>3</v>
      </c>
      <c r="K33" s="386">
        <v>3.46475</v>
      </c>
      <c r="L33" s="386">
        <f t="shared" si="8"/>
        <v>0.46475</v>
      </c>
      <c r="M33" s="386">
        <v>0</v>
      </c>
      <c r="N33" s="386">
        <v>4.2</v>
      </c>
      <c r="O33" s="386"/>
      <c r="P33" s="386">
        <v>0</v>
      </c>
      <c r="Q33" s="386">
        <v>4.3</v>
      </c>
      <c r="R33" s="386"/>
      <c r="S33" s="386">
        <v>4.4000000000000004</v>
      </c>
      <c r="T33" s="386">
        <f t="shared" si="3"/>
        <v>16.364750000000001</v>
      </c>
      <c r="U33" s="375" t="s">
        <v>12</v>
      </c>
      <c r="V33" s="375"/>
      <c r="W33" s="375"/>
      <c r="X33" s="463"/>
    </row>
    <row r="34" spans="1:24" ht="24">
      <c r="A34" s="477"/>
      <c r="B34" s="477"/>
      <c r="C34" s="384"/>
      <c r="D34" s="385">
        <v>0</v>
      </c>
      <c r="E34" s="385"/>
      <c r="F34" s="385"/>
      <c r="G34" s="386">
        <v>0</v>
      </c>
      <c r="H34" s="385"/>
      <c r="I34" s="385"/>
      <c r="J34" s="386">
        <v>761.47577999999999</v>
      </c>
      <c r="K34" s="386">
        <v>761.47577999999999</v>
      </c>
      <c r="L34" s="386">
        <f t="shared" si="8"/>
        <v>0</v>
      </c>
      <c r="M34" s="386">
        <v>0</v>
      </c>
      <c r="N34" s="386">
        <v>4193.9216999999999</v>
      </c>
      <c r="O34" s="386"/>
      <c r="P34" s="386">
        <v>0</v>
      </c>
      <c r="Q34" s="386">
        <v>4296.5543100000004</v>
      </c>
      <c r="R34" s="386"/>
      <c r="S34" s="386">
        <v>4394.0415599999997</v>
      </c>
      <c r="T34" s="386">
        <f t="shared" si="3"/>
        <v>13645.993349999999</v>
      </c>
      <c r="U34" s="375" t="s">
        <v>8</v>
      </c>
      <c r="V34" s="375"/>
      <c r="W34" s="375"/>
      <c r="X34" s="463"/>
    </row>
    <row r="35" spans="1:24" ht="24">
      <c r="A35" s="470"/>
      <c r="B35" s="470"/>
      <c r="C35" s="384"/>
      <c r="D35" s="385">
        <v>0</v>
      </c>
      <c r="E35" s="385"/>
      <c r="F35" s="385"/>
      <c r="G35" s="386">
        <v>0</v>
      </c>
      <c r="H35" s="385"/>
      <c r="I35" s="385"/>
      <c r="J35" s="386">
        <v>2699.7777799999999</v>
      </c>
      <c r="K35" s="386">
        <v>2699.7777799999999</v>
      </c>
      <c r="L35" s="386">
        <f t="shared" si="8"/>
        <v>0</v>
      </c>
      <c r="M35" s="386">
        <v>0</v>
      </c>
      <c r="N35" s="386"/>
      <c r="O35" s="386"/>
      <c r="P35" s="386">
        <v>0</v>
      </c>
      <c r="Q35" s="386"/>
      <c r="R35" s="386"/>
      <c r="S35" s="386"/>
      <c r="T35" s="386">
        <f t="shared" si="3"/>
        <v>2699.7777799999999</v>
      </c>
      <c r="U35" s="375" t="s">
        <v>9</v>
      </c>
      <c r="V35" s="375"/>
      <c r="W35" s="375"/>
      <c r="X35" s="463"/>
    </row>
    <row r="36" spans="1:24" s="397" customFormat="1" ht="50.25" customHeight="1">
      <c r="A36" s="453">
        <v>2</v>
      </c>
      <c r="B36" s="456" t="s">
        <v>32</v>
      </c>
      <c r="C36" s="394"/>
      <c r="D36" s="395">
        <v>560</v>
      </c>
      <c r="E36" s="395"/>
      <c r="F36" s="395"/>
      <c r="G36" s="396">
        <v>116</v>
      </c>
      <c r="H36" s="395"/>
      <c r="I36" s="395"/>
      <c r="J36" s="396">
        <v>0</v>
      </c>
      <c r="K36" s="396"/>
      <c r="L36" s="386">
        <f t="shared" si="8"/>
        <v>0</v>
      </c>
      <c r="M36" s="396">
        <v>0</v>
      </c>
      <c r="N36" s="396"/>
      <c r="O36" s="396"/>
      <c r="P36" s="396">
        <v>0</v>
      </c>
      <c r="Q36" s="396"/>
      <c r="R36" s="396"/>
      <c r="S36" s="396"/>
      <c r="T36" s="386">
        <f t="shared" si="3"/>
        <v>676</v>
      </c>
      <c r="U36" s="388" t="s">
        <v>12</v>
      </c>
      <c r="V36" s="388"/>
      <c r="W36" s="388"/>
      <c r="X36" s="463"/>
    </row>
    <row r="37" spans="1:24" s="397" customFormat="1" ht="50.25" customHeight="1">
      <c r="A37" s="454"/>
      <c r="B37" s="457"/>
      <c r="C37" s="394"/>
      <c r="D37" s="395">
        <v>1016.4</v>
      </c>
      <c r="E37" s="395"/>
      <c r="F37" s="395"/>
      <c r="G37" s="396">
        <v>600</v>
      </c>
      <c r="H37" s="395"/>
      <c r="I37" s="395"/>
      <c r="J37" s="396">
        <v>0</v>
      </c>
      <c r="K37" s="396"/>
      <c r="L37" s="386">
        <f t="shared" si="8"/>
        <v>0</v>
      </c>
      <c r="M37" s="396">
        <v>0</v>
      </c>
      <c r="N37" s="396"/>
      <c r="O37" s="396"/>
      <c r="P37" s="396">
        <v>0</v>
      </c>
      <c r="Q37" s="396"/>
      <c r="R37" s="396"/>
      <c r="S37" s="396"/>
      <c r="T37" s="386">
        <f t="shared" si="3"/>
        <v>1616.4</v>
      </c>
      <c r="U37" s="388" t="s">
        <v>8</v>
      </c>
      <c r="V37" s="388"/>
      <c r="W37" s="388"/>
      <c r="X37" s="463"/>
    </row>
    <row r="38" spans="1:24" s="397" customFormat="1" ht="85.5" customHeight="1">
      <c r="A38" s="454"/>
      <c r="B38" s="458"/>
      <c r="C38" s="394"/>
      <c r="D38" s="395">
        <v>6692.4</v>
      </c>
      <c r="E38" s="395"/>
      <c r="F38" s="395"/>
      <c r="G38" s="396">
        <v>2257.1999999999998</v>
      </c>
      <c r="H38" s="395"/>
      <c r="I38" s="395"/>
      <c r="J38" s="396">
        <v>0</v>
      </c>
      <c r="K38" s="396"/>
      <c r="L38" s="386">
        <f t="shared" si="8"/>
        <v>0</v>
      </c>
      <c r="M38" s="396">
        <v>0</v>
      </c>
      <c r="N38" s="396"/>
      <c r="O38" s="396"/>
      <c r="P38" s="396">
        <v>0</v>
      </c>
      <c r="Q38" s="396"/>
      <c r="R38" s="396"/>
      <c r="S38" s="396"/>
      <c r="T38" s="386">
        <f t="shared" si="3"/>
        <v>8949.5999999999985</v>
      </c>
      <c r="U38" s="388" t="s">
        <v>9</v>
      </c>
      <c r="V38" s="388"/>
      <c r="W38" s="388"/>
      <c r="X38" s="463"/>
    </row>
    <row r="39" spans="1:24" s="397" customFormat="1" ht="176.45" customHeight="1">
      <c r="A39" s="455"/>
      <c r="B39" s="388" t="s">
        <v>38</v>
      </c>
      <c r="C39" s="394"/>
      <c r="D39" s="395">
        <f>D36+D37+D38</f>
        <v>8268.7999999999993</v>
      </c>
      <c r="E39" s="395">
        <f t="shared" ref="E39:J39" si="11">E36+E37+E38</f>
        <v>0</v>
      </c>
      <c r="F39" s="395">
        <f t="shared" si="11"/>
        <v>0</v>
      </c>
      <c r="G39" s="396">
        <f t="shared" si="11"/>
        <v>2973.2</v>
      </c>
      <c r="H39" s="395">
        <f t="shared" si="11"/>
        <v>0</v>
      </c>
      <c r="I39" s="395">
        <f t="shared" si="11"/>
        <v>0</v>
      </c>
      <c r="J39" s="396">
        <f t="shared" si="11"/>
        <v>0</v>
      </c>
      <c r="K39" s="396"/>
      <c r="L39" s="386">
        <f t="shared" si="8"/>
        <v>0</v>
      </c>
      <c r="M39" s="396">
        <v>0</v>
      </c>
      <c r="N39" s="396"/>
      <c r="O39" s="396"/>
      <c r="P39" s="396">
        <v>0</v>
      </c>
      <c r="Q39" s="396"/>
      <c r="R39" s="396"/>
      <c r="S39" s="396"/>
      <c r="T39" s="386">
        <f t="shared" si="3"/>
        <v>11242</v>
      </c>
      <c r="U39" s="388"/>
      <c r="V39" s="388"/>
      <c r="W39" s="388" t="s">
        <v>195</v>
      </c>
      <c r="X39" s="463"/>
    </row>
    <row r="40" spans="1:24" ht="37.5" customHeight="1">
      <c r="A40" s="478" t="s">
        <v>48</v>
      </c>
      <c r="B40" s="480" t="s">
        <v>189</v>
      </c>
      <c r="C40" s="394">
        <v>500</v>
      </c>
      <c r="D40" s="395">
        <v>500</v>
      </c>
      <c r="E40" s="395">
        <f t="shared" si="7"/>
        <v>0</v>
      </c>
      <c r="F40" s="395">
        <v>500</v>
      </c>
      <c r="G40" s="396">
        <v>116</v>
      </c>
      <c r="H40" s="395">
        <f t="shared" si="9"/>
        <v>-384</v>
      </c>
      <c r="I40" s="395">
        <v>0</v>
      </c>
      <c r="J40" s="396">
        <v>0</v>
      </c>
      <c r="K40" s="396"/>
      <c r="L40" s="386">
        <f t="shared" si="8"/>
        <v>0</v>
      </c>
      <c r="M40" s="396">
        <v>0</v>
      </c>
      <c r="N40" s="396"/>
      <c r="O40" s="396"/>
      <c r="P40" s="396">
        <v>0</v>
      </c>
      <c r="Q40" s="396"/>
      <c r="R40" s="396"/>
      <c r="S40" s="396"/>
      <c r="T40" s="386">
        <f t="shared" si="3"/>
        <v>616</v>
      </c>
      <c r="U40" s="388" t="s">
        <v>12</v>
      </c>
      <c r="V40" s="388"/>
      <c r="W40" s="388"/>
      <c r="X40" s="463"/>
    </row>
    <row r="41" spans="1:24" ht="38.25" customHeight="1">
      <c r="A41" s="479"/>
      <c r="B41" s="472"/>
      <c r="C41" s="394">
        <v>874.6</v>
      </c>
      <c r="D41" s="395">
        <v>874.6</v>
      </c>
      <c r="E41" s="395">
        <f t="shared" si="7"/>
        <v>0</v>
      </c>
      <c r="F41" s="395">
        <v>914.7</v>
      </c>
      <c r="G41" s="396">
        <v>600</v>
      </c>
      <c r="H41" s="395">
        <f t="shared" si="9"/>
        <v>-314.70000000000005</v>
      </c>
      <c r="I41" s="395">
        <v>0</v>
      </c>
      <c r="J41" s="396">
        <v>0</v>
      </c>
      <c r="K41" s="396"/>
      <c r="L41" s="386">
        <f t="shared" si="8"/>
        <v>0</v>
      </c>
      <c r="M41" s="396">
        <v>0</v>
      </c>
      <c r="N41" s="396"/>
      <c r="O41" s="396"/>
      <c r="P41" s="396">
        <v>0</v>
      </c>
      <c r="Q41" s="396"/>
      <c r="R41" s="396"/>
      <c r="S41" s="396"/>
      <c r="T41" s="386">
        <f t="shared" si="3"/>
        <v>1474.6</v>
      </c>
      <c r="U41" s="388" t="s">
        <v>8</v>
      </c>
      <c r="V41" s="388"/>
      <c r="W41" s="388"/>
      <c r="X41" s="463"/>
    </row>
    <row r="42" spans="1:24" ht="31.5" customHeight="1">
      <c r="A42" s="479"/>
      <c r="B42" s="472"/>
      <c r="C42" s="394">
        <v>3290.2</v>
      </c>
      <c r="D42" s="395">
        <v>3290.2</v>
      </c>
      <c r="E42" s="395">
        <f t="shared" si="7"/>
        <v>0</v>
      </c>
      <c r="F42" s="395">
        <v>3440.8</v>
      </c>
      <c r="G42" s="396">
        <v>2257.1999999999998</v>
      </c>
      <c r="H42" s="395">
        <f t="shared" si="9"/>
        <v>-1183.6000000000004</v>
      </c>
      <c r="I42" s="395">
        <v>0</v>
      </c>
      <c r="J42" s="396">
        <v>0</v>
      </c>
      <c r="K42" s="396"/>
      <c r="L42" s="386">
        <f t="shared" si="8"/>
        <v>0</v>
      </c>
      <c r="M42" s="396">
        <v>0</v>
      </c>
      <c r="N42" s="396"/>
      <c r="O42" s="396"/>
      <c r="P42" s="396">
        <v>0</v>
      </c>
      <c r="Q42" s="396"/>
      <c r="R42" s="396"/>
      <c r="S42" s="396"/>
      <c r="T42" s="386">
        <f t="shared" si="3"/>
        <v>5547.4</v>
      </c>
      <c r="U42" s="388" t="s">
        <v>9</v>
      </c>
      <c r="V42" s="388"/>
      <c r="W42" s="388"/>
      <c r="X42" s="463"/>
    </row>
    <row r="43" spans="1:24" ht="108.6" customHeight="1">
      <c r="A43" s="39"/>
      <c r="B43" s="388" t="s">
        <v>60</v>
      </c>
      <c r="C43" s="384">
        <f>C40+C41+C42</f>
        <v>4664.7999999999993</v>
      </c>
      <c r="D43" s="385">
        <f>D40+D41+D42</f>
        <v>4664.7999999999993</v>
      </c>
      <c r="E43" s="385">
        <f t="shared" si="7"/>
        <v>0</v>
      </c>
      <c r="F43" s="385">
        <f>F40+F41+F42</f>
        <v>4855.5</v>
      </c>
      <c r="G43" s="386">
        <f>G40+G41+G42</f>
        <v>2973.2</v>
      </c>
      <c r="H43" s="385">
        <f t="shared" si="9"/>
        <v>-1882.3000000000002</v>
      </c>
      <c r="I43" s="385">
        <f>I40+I41+I42</f>
        <v>0</v>
      </c>
      <c r="J43" s="386">
        <v>0</v>
      </c>
      <c r="K43" s="386"/>
      <c r="L43" s="386">
        <f t="shared" si="8"/>
        <v>0</v>
      </c>
      <c r="M43" s="386">
        <v>0</v>
      </c>
      <c r="N43" s="386"/>
      <c r="O43" s="386"/>
      <c r="P43" s="386">
        <v>0</v>
      </c>
      <c r="Q43" s="386"/>
      <c r="R43" s="386"/>
      <c r="S43" s="386"/>
      <c r="T43" s="386">
        <f t="shared" si="3"/>
        <v>7637.9999999999991</v>
      </c>
      <c r="U43" s="375"/>
      <c r="V43" s="375"/>
      <c r="W43" s="375"/>
      <c r="X43" s="463"/>
    </row>
    <row r="44" spans="1:24" ht="47.45" customHeight="1">
      <c r="A44" s="471" t="s">
        <v>61</v>
      </c>
      <c r="B44" s="472" t="s">
        <v>179</v>
      </c>
      <c r="C44" s="384">
        <v>60</v>
      </c>
      <c r="D44" s="385">
        <v>60</v>
      </c>
      <c r="E44" s="385">
        <f t="shared" si="7"/>
        <v>0</v>
      </c>
      <c r="F44" s="385">
        <v>62</v>
      </c>
      <c r="G44" s="386">
        <v>0</v>
      </c>
      <c r="H44" s="385">
        <f t="shared" si="9"/>
        <v>-62</v>
      </c>
      <c r="I44" s="385">
        <v>0</v>
      </c>
      <c r="J44" s="386">
        <v>0</v>
      </c>
      <c r="K44" s="386"/>
      <c r="L44" s="386">
        <f t="shared" si="8"/>
        <v>0</v>
      </c>
      <c r="M44" s="386">
        <v>0</v>
      </c>
      <c r="N44" s="386"/>
      <c r="O44" s="386"/>
      <c r="P44" s="386">
        <v>0</v>
      </c>
      <c r="Q44" s="386"/>
      <c r="R44" s="386"/>
      <c r="S44" s="386"/>
      <c r="T44" s="386">
        <f t="shared" si="3"/>
        <v>60</v>
      </c>
      <c r="U44" s="375" t="s">
        <v>12</v>
      </c>
      <c r="V44" s="375"/>
      <c r="W44" s="375"/>
      <c r="X44" s="463"/>
    </row>
    <row r="45" spans="1:24" ht="106.15" customHeight="1">
      <c r="A45" s="460"/>
      <c r="B45" s="472"/>
      <c r="C45" s="384">
        <v>141.80000000000001</v>
      </c>
      <c r="D45" s="385">
        <v>141.80000000000001</v>
      </c>
      <c r="E45" s="385">
        <f t="shared" si="7"/>
        <v>0</v>
      </c>
      <c r="F45" s="385">
        <v>147.19999999999999</v>
      </c>
      <c r="G45" s="386">
        <v>0</v>
      </c>
      <c r="H45" s="385">
        <f t="shared" si="9"/>
        <v>-147.19999999999999</v>
      </c>
      <c r="I45" s="385">
        <v>0</v>
      </c>
      <c r="J45" s="386">
        <v>0</v>
      </c>
      <c r="K45" s="386"/>
      <c r="L45" s="386">
        <f t="shared" si="8"/>
        <v>0</v>
      </c>
      <c r="M45" s="386">
        <v>0</v>
      </c>
      <c r="N45" s="386"/>
      <c r="O45" s="386"/>
      <c r="P45" s="386">
        <v>0</v>
      </c>
      <c r="Q45" s="386"/>
      <c r="R45" s="386"/>
      <c r="S45" s="386"/>
      <c r="T45" s="386">
        <f t="shared" si="3"/>
        <v>141.80000000000001</v>
      </c>
      <c r="U45" s="375" t="s">
        <v>8</v>
      </c>
      <c r="V45" s="375"/>
      <c r="W45" s="375"/>
      <c r="X45" s="463"/>
    </row>
    <row r="46" spans="1:24" ht="54" customHeight="1">
      <c r="A46" s="460"/>
      <c r="B46" s="472"/>
      <c r="C46" s="384">
        <v>3402.2</v>
      </c>
      <c r="D46" s="385">
        <v>3402.2</v>
      </c>
      <c r="E46" s="385">
        <f t="shared" si="7"/>
        <v>0</v>
      </c>
      <c r="F46" s="385">
        <v>3533</v>
      </c>
      <c r="G46" s="386">
        <v>0</v>
      </c>
      <c r="H46" s="385">
        <f t="shared" si="9"/>
        <v>-3533</v>
      </c>
      <c r="I46" s="385">
        <v>0</v>
      </c>
      <c r="J46" s="386">
        <v>0</v>
      </c>
      <c r="K46" s="386"/>
      <c r="L46" s="386">
        <f t="shared" si="8"/>
        <v>0</v>
      </c>
      <c r="M46" s="386">
        <v>0</v>
      </c>
      <c r="N46" s="386"/>
      <c r="O46" s="386"/>
      <c r="P46" s="386">
        <v>0</v>
      </c>
      <c r="Q46" s="386"/>
      <c r="R46" s="386"/>
      <c r="S46" s="386"/>
      <c r="T46" s="386">
        <f t="shared" si="3"/>
        <v>3402.2</v>
      </c>
      <c r="U46" s="375" t="s">
        <v>9</v>
      </c>
      <c r="V46" s="375"/>
      <c r="W46" s="375"/>
      <c r="X46" s="463"/>
    </row>
    <row r="47" spans="1:24" ht="217.15" customHeight="1">
      <c r="A47" s="39"/>
      <c r="B47" s="388" t="s">
        <v>69</v>
      </c>
      <c r="C47" s="384">
        <f>C44+C45+C46</f>
        <v>3604</v>
      </c>
      <c r="D47" s="385">
        <f t="shared" ref="D47:J47" si="12">D44+D45+D46</f>
        <v>3604</v>
      </c>
      <c r="E47" s="385">
        <f t="shared" si="7"/>
        <v>0</v>
      </c>
      <c r="F47" s="385">
        <f t="shared" si="12"/>
        <v>3742.2</v>
      </c>
      <c r="G47" s="386">
        <v>0</v>
      </c>
      <c r="H47" s="385">
        <f t="shared" si="12"/>
        <v>-3742.2</v>
      </c>
      <c r="I47" s="385">
        <f t="shared" si="12"/>
        <v>0</v>
      </c>
      <c r="J47" s="386">
        <f t="shared" si="12"/>
        <v>0</v>
      </c>
      <c r="K47" s="386"/>
      <c r="L47" s="386">
        <f t="shared" si="8"/>
        <v>0</v>
      </c>
      <c r="M47" s="386">
        <v>0</v>
      </c>
      <c r="N47" s="386"/>
      <c r="O47" s="386"/>
      <c r="P47" s="386">
        <v>0</v>
      </c>
      <c r="Q47" s="386"/>
      <c r="R47" s="386"/>
      <c r="S47" s="386"/>
      <c r="T47" s="386">
        <f t="shared" si="3"/>
        <v>3604</v>
      </c>
      <c r="U47" s="375"/>
      <c r="V47" s="375"/>
      <c r="W47" s="375"/>
      <c r="X47" s="463"/>
    </row>
    <row r="48" spans="1:24" ht="78" customHeight="1">
      <c r="A48" s="466">
        <v>3</v>
      </c>
      <c r="B48" s="456" t="s">
        <v>51</v>
      </c>
      <c r="C48" s="384">
        <v>7251.3</v>
      </c>
      <c r="D48" s="385">
        <v>7506.7</v>
      </c>
      <c r="E48" s="385">
        <f>D48-C48</f>
        <v>255.39999999999964</v>
      </c>
      <c r="F48" s="385">
        <v>6849.6</v>
      </c>
      <c r="G48" s="386">
        <v>10304.700000000001</v>
      </c>
      <c r="H48" s="385">
        <f>G48-F48</f>
        <v>3455.1000000000004</v>
      </c>
      <c r="I48" s="385">
        <v>6849.6</v>
      </c>
      <c r="J48" s="386">
        <f>8194.6+'поясеительная+'!M40</f>
        <v>12333.6</v>
      </c>
      <c r="K48" s="386">
        <f>12582.4</f>
        <v>12582.4</v>
      </c>
      <c r="L48" s="386">
        <f t="shared" si="8"/>
        <v>248.79999999999927</v>
      </c>
      <c r="M48" s="386">
        <v>8194.6</v>
      </c>
      <c r="N48" s="386">
        <v>12657.9</v>
      </c>
      <c r="O48" s="386"/>
      <c r="P48" s="386">
        <v>8194.6</v>
      </c>
      <c r="Q48" s="386">
        <v>12657.9</v>
      </c>
      <c r="R48" s="386"/>
      <c r="S48" s="386">
        <v>12657.9</v>
      </c>
      <c r="T48" s="386">
        <f t="shared" si="3"/>
        <v>68367.5</v>
      </c>
      <c r="U48" s="375" t="s">
        <v>12</v>
      </c>
      <c r="V48" s="375" t="s">
        <v>137</v>
      </c>
      <c r="W48" s="375" t="s">
        <v>159</v>
      </c>
      <c r="X48" s="463"/>
    </row>
    <row r="49" spans="1:24" ht="78" customHeight="1">
      <c r="A49" s="468"/>
      <c r="B49" s="470"/>
      <c r="C49" s="384"/>
      <c r="D49" s="385">
        <v>0</v>
      </c>
      <c r="E49" s="385"/>
      <c r="F49" s="385"/>
      <c r="G49" s="386">
        <v>250</v>
      </c>
      <c r="H49" s="385"/>
      <c r="I49" s="385"/>
      <c r="J49" s="386">
        <v>0</v>
      </c>
      <c r="K49" s="386"/>
      <c r="L49" s="386">
        <f t="shared" si="8"/>
        <v>0</v>
      </c>
      <c r="M49" s="386">
        <v>0</v>
      </c>
      <c r="N49" s="386"/>
      <c r="O49" s="386"/>
      <c r="P49" s="386">
        <v>0</v>
      </c>
      <c r="Q49" s="386"/>
      <c r="R49" s="386"/>
      <c r="S49" s="386"/>
      <c r="T49" s="386">
        <f t="shared" si="3"/>
        <v>250</v>
      </c>
      <c r="U49" s="375" t="s">
        <v>8</v>
      </c>
      <c r="V49" s="375"/>
      <c r="W49" s="375"/>
      <c r="X49" s="463"/>
    </row>
    <row r="50" spans="1:24" ht="78" customHeight="1">
      <c r="A50" s="387"/>
      <c r="B50" s="388" t="s">
        <v>233</v>
      </c>
      <c r="C50" s="384"/>
      <c r="D50" s="385"/>
      <c r="E50" s="385"/>
      <c r="F50" s="385"/>
      <c r="G50" s="386"/>
      <c r="H50" s="385"/>
      <c r="I50" s="385"/>
      <c r="J50" s="386">
        <v>5000</v>
      </c>
      <c r="K50" s="386"/>
      <c r="L50" s="386">
        <f t="shared" si="8"/>
        <v>-5000</v>
      </c>
      <c r="M50" s="386">
        <v>5000</v>
      </c>
      <c r="N50" s="386"/>
      <c r="O50" s="386"/>
      <c r="P50" s="386"/>
      <c r="Q50" s="386"/>
      <c r="R50" s="386"/>
      <c r="S50" s="386"/>
      <c r="T50" s="386">
        <f t="shared" si="3"/>
        <v>0</v>
      </c>
      <c r="U50" s="375"/>
      <c r="V50" s="375"/>
      <c r="W50" s="375"/>
      <c r="X50" s="463"/>
    </row>
    <row r="51" spans="1:24" ht="70.150000000000006" customHeight="1">
      <c r="A51" s="39">
        <v>4</v>
      </c>
      <c r="B51" s="388" t="s">
        <v>86</v>
      </c>
      <c r="C51" s="384">
        <f>C52+C53</f>
        <v>40000</v>
      </c>
      <c r="D51" s="385">
        <f>D52+D53</f>
        <v>40000</v>
      </c>
      <c r="E51" s="385">
        <f t="shared" ref="E51:F51" si="13">E52+E53</f>
        <v>0</v>
      </c>
      <c r="F51" s="385">
        <f t="shared" si="13"/>
        <v>0</v>
      </c>
      <c r="G51" s="386">
        <v>0</v>
      </c>
      <c r="H51" s="385"/>
      <c r="I51" s="385"/>
      <c r="J51" s="386">
        <v>0</v>
      </c>
      <c r="K51" s="386"/>
      <c r="L51" s="386">
        <f t="shared" si="8"/>
        <v>0</v>
      </c>
      <c r="M51" s="386">
        <v>0</v>
      </c>
      <c r="N51" s="386"/>
      <c r="O51" s="386"/>
      <c r="P51" s="386">
        <v>0</v>
      </c>
      <c r="Q51" s="386"/>
      <c r="R51" s="386"/>
      <c r="S51" s="386"/>
      <c r="T51" s="386">
        <f t="shared" si="3"/>
        <v>40000</v>
      </c>
      <c r="U51" s="375"/>
      <c r="V51" s="375"/>
      <c r="W51" s="375" t="s">
        <v>159</v>
      </c>
      <c r="X51" s="463"/>
    </row>
    <row r="52" spans="1:24" ht="117" customHeight="1">
      <c r="A52" s="478" t="s">
        <v>54</v>
      </c>
      <c r="B52" s="472" t="s">
        <v>182</v>
      </c>
      <c r="C52" s="384">
        <v>40</v>
      </c>
      <c r="D52" s="385">
        <v>40</v>
      </c>
      <c r="E52" s="385"/>
      <c r="F52" s="385">
        <v>0</v>
      </c>
      <c r="G52" s="386">
        <v>0</v>
      </c>
      <c r="H52" s="385"/>
      <c r="I52" s="385">
        <v>0</v>
      </c>
      <c r="J52" s="386">
        <v>0</v>
      </c>
      <c r="K52" s="386"/>
      <c r="L52" s="386">
        <f t="shared" si="8"/>
        <v>0</v>
      </c>
      <c r="M52" s="386">
        <v>0</v>
      </c>
      <c r="N52" s="386"/>
      <c r="O52" s="386"/>
      <c r="P52" s="386">
        <v>0</v>
      </c>
      <c r="Q52" s="386"/>
      <c r="R52" s="386"/>
      <c r="S52" s="386"/>
      <c r="T52" s="386">
        <f t="shared" si="3"/>
        <v>40</v>
      </c>
      <c r="U52" s="375" t="str">
        <f>U48</f>
        <v>Бюджет ЗГО</v>
      </c>
      <c r="V52" s="375"/>
      <c r="W52" s="375"/>
      <c r="X52" s="463"/>
    </row>
    <row r="53" spans="1:24" ht="117" customHeight="1">
      <c r="A53" s="478"/>
      <c r="B53" s="481"/>
      <c r="C53" s="384">
        <v>39960</v>
      </c>
      <c r="D53" s="385">
        <v>39960</v>
      </c>
      <c r="E53" s="385"/>
      <c r="F53" s="385">
        <v>0</v>
      </c>
      <c r="G53" s="386">
        <v>0</v>
      </c>
      <c r="H53" s="385"/>
      <c r="I53" s="385">
        <v>0</v>
      </c>
      <c r="J53" s="386">
        <v>0</v>
      </c>
      <c r="K53" s="386"/>
      <c r="L53" s="386">
        <f t="shared" si="8"/>
        <v>0</v>
      </c>
      <c r="M53" s="386">
        <v>0</v>
      </c>
      <c r="N53" s="386"/>
      <c r="O53" s="386"/>
      <c r="P53" s="386">
        <v>0</v>
      </c>
      <c r="Q53" s="386"/>
      <c r="R53" s="386"/>
      <c r="S53" s="386"/>
      <c r="T53" s="386">
        <f t="shared" si="3"/>
        <v>39960</v>
      </c>
      <c r="U53" s="375" t="str">
        <f>U45</f>
        <v>Областной бюджет</v>
      </c>
      <c r="V53" s="375"/>
      <c r="W53" s="375"/>
      <c r="X53" s="463"/>
    </row>
    <row r="54" spans="1:24" ht="103.9" customHeight="1">
      <c r="A54" s="39">
        <v>5</v>
      </c>
      <c r="B54" s="388" t="s">
        <v>100</v>
      </c>
      <c r="C54" s="384">
        <f>C55+C56</f>
        <v>87588.9</v>
      </c>
      <c r="D54" s="385">
        <f>D55</f>
        <v>84088.9</v>
      </c>
      <c r="E54" s="385">
        <f t="shared" ref="E54:F54" si="14">E55</f>
        <v>0</v>
      </c>
      <c r="F54" s="385">
        <f t="shared" si="14"/>
        <v>0</v>
      </c>
      <c r="G54" s="386">
        <v>0</v>
      </c>
      <c r="H54" s="386">
        <f t="shared" ref="H54:J54" si="15">H55+H56+H57</f>
        <v>0</v>
      </c>
      <c r="I54" s="386">
        <f t="shared" si="15"/>
        <v>0</v>
      </c>
      <c r="J54" s="386">
        <f t="shared" si="15"/>
        <v>0</v>
      </c>
      <c r="K54" s="386"/>
      <c r="L54" s="386">
        <f t="shared" si="8"/>
        <v>0</v>
      </c>
      <c r="M54" s="386">
        <f>M57+M56</f>
        <v>23897.392</v>
      </c>
      <c r="N54" s="386"/>
      <c r="O54" s="386"/>
      <c r="P54" s="386">
        <f>P57+P56</f>
        <v>97318.53</v>
      </c>
      <c r="Q54" s="386"/>
      <c r="R54" s="386"/>
      <c r="S54" s="386"/>
      <c r="T54" s="386">
        <f t="shared" si="3"/>
        <v>84088.9</v>
      </c>
      <c r="V54" s="375"/>
      <c r="W54" s="375" t="s">
        <v>220</v>
      </c>
      <c r="X54" s="463"/>
    </row>
    <row r="55" spans="1:24" ht="148.9" customHeight="1">
      <c r="A55" s="398" t="s">
        <v>123</v>
      </c>
      <c r="B55" s="388" t="s">
        <v>180</v>
      </c>
      <c r="C55" s="384">
        <f>87588.9-3500</f>
        <v>84088.9</v>
      </c>
      <c r="D55" s="385">
        <v>84088.9</v>
      </c>
      <c r="E55" s="385"/>
      <c r="F55" s="385">
        <v>0</v>
      </c>
      <c r="G55" s="386">
        <v>590</v>
      </c>
      <c r="H55" s="385"/>
      <c r="I55" s="385">
        <v>0</v>
      </c>
      <c r="J55" s="386">
        <v>0</v>
      </c>
      <c r="K55" s="386"/>
      <c r="L55" s="386">
        <f t="shared" si="8"/>
        <v>0</v>
      </c>
      <c r="M55" s="386">
        <v>0</v>
      </c>
      <c r="N55" s="386"/>
      <c r="O55" s="386"/>
      <c r="P55" s="386">
        <v>0</v>
      </c>
      <c r="Q55" s="386"/>
      <c r="R55" s="386"/>
      <c r="S55" s="386"/>
      <c r="T55" s="386">
        <f t="shared" si="3"/>
        <v>84678.9</v>
      </c>
      <c r="U55" s="375"/>
      <c r="V55" s="375"/>
      <c r="W55" s="375" t="s">
        <v>220</v>
      </c>
      <c r="X55" s="463"/>
    </row>
    <row r="56" spans="1:24" ht="39" hidden="1" customHeight="1">
      <c r="A56" s="478" t="s">
        <v>124</v>
      </c>
      <c r="B56" s="472" t="s">
        <v>208</v>
      </c>
      <c r="C56" s="384">
        <v>3500</v>
      </c>
      <c r="D56" s="385">
        <v>0</v>
      </c>
      <c r="E56" s="385"/>
      <c r="F56" s="385">
        <v>0</v>
      </c>
      <c r="G56" s="386">
        <v>0</v>
      </c>
      <c r="H56" s="385"/>
      <c r="I56" s="385">
        <v>0</v>
      </c>
      <c r="J56" s="386">
        <v>0</v>
      </c>
      <c r="K56" s="386"/>
      <c r="L56" s="386">
        <f t="shared" si="8"/>
        <v>0</v>
      </c>
      <c r="M56" s="386">
        <f>32.4-0.36</f>
        <v>32.04</v>
      </c>
      <c r="N56" s="386"/>
      <c r="O56" s="386"/>
      <c r="P56" s="386">
        <v>97.32</v>
      </c>
      <c r="Q56" s="386"/>
      <c r="R56" s="386"/>
      <c r="S56" s="386"/>
      <c r="T56" s="386">
        <f t="shared" si="3"/>
        <v>0</v>
      </c>
      <c r="U56" s="375" t="s">
        <v>99</v>
      </c>
      <c r="V56" s="375"/>
      <c r="W56" s="445" t="s">
        <v>221</v>
      </c>
      <c r="X56" s="463"/>
    </row>
    <row r="57" spans="1:24" ht="78.75" hidden="1" customHeight="1">
      <c r="A57" s="482"/>
      <c r="B57" s="481"/>
      <c r="C57" s="384"/>
      <c r="D57" s="385">
        <v>0</v>
      </c>
      <c r="E57" s="385"/>
      <c r="F57" s="385"/>
      <c r="G57" s="386">
        <v>0</v>
      </c>
      <c r="H57" s="385"/>
      <c r="I57" s="385"/>
      <c r="J57" s="386">
        <v>0</v>
      </c>
      <c r="K57" s="386"/>
      <c r="L57" s="386">
        <f t="shared" si="8"/>
        <v>0</v>
      </c>
      <c r="M57" s="386">
        <f>23897.392-32.04</f>
        <v>23865.351999999999</v>
      </c>
      <c r="N57" s="386"/>
      <c r="O57" s="386"/>
      <c r="P57" s="386">
        <f>97318.53-97.32</f>
        <v>97221.209999999992</v>
      </c>
      <c r="Q57" s="386"/>
      <c r="R57" s="386"/>
      <c r="S57" s="386"/>
      <c r="T57" s="386">
        <f t="shared" si="3"/>
        <v>0</v>
      </c>
      <c r="U57" s="375" t="s">
        <v>133</v>
      </c>
      <c r="V57" s="375"/>
      <c r="W57" s="473"/>
      <c r="X57" s="464"/>
    </row>
    <row r="58" spans="1:24" s="404" customFormat="1" ht="40.5" customHeight="1">
      <c r="A58" s="401"/>
      <c r="B58" s="39" t="s">
        <v>20</v>
      </c>
      <c r="C58" s="98" t="e">
        <f>C16+#REF!+C48+C52+C55+C56</f>
        <v>#REF!</v>
      </c>
      <c r="D58" s="385">
        <f>D16+D36+D48+D52+D55</f>
        <v>120970.09999999999</v>
      </c>
      <c r="E58" s="385" t="e">
        <f>E16+#REF!+E48+E52+E55</f>
        <v>#REF!</v>
      </c>
      <c r="F58" s="385" t="e">
        <f>F16+#REF!+F48+F52+F55</f>
        <v>#REF!</v>
      </c>
      <c r="G58" s="386">
        <v>62273.241000000002</v>
      </c>
      <c r="H58" s="385" t="e">
        <f>H16+#REF!+H48+H52+H55</f>
        <v>#REF!</v>
      </c>
      <c r="I58" s="385" t="e">
        <f>I16+#REF!+I48+I52+I55</f>
        <v>#REF!</v>
      </c>
      <c r="J58" s="386">
        <f>J16+J48+J52+J54</f>
        <v>48378.549999999996</v>
      </c>
      <c r="K58" s="386">
        <f>K16+K48+K52+K54</f>
        <v>53993.782400000004</v>
      </c>
      <c r="L58" s="386">
        <f t="shared" si="8"/>
        <v>5615.2324000000081</v>
      </c>
      <c r="M58" s="386">
        <f>M16+M48+M52+M56</f>
        <v>38251.14</v>
      </c>
      <c r="N58" s="386">
        <f>N16+N48+N52+N56</f>
        <v>51628.799999999996</v>
      </c>
      <c r="O58" s="386"/>
      <c r="P58" s="386">
        <f>P16+P48+P52+P56</f>
        <v>38316.519999999997</v>
      </c>
      <c r="Q58" s="386">
        <f>Q16+Q48+Q52+Q56</f>
        <v>51632.1</v>
      </c>
      <c r="R58" s="386"/>
      <c r="S58" s="386">
        <f>S16+S48+S52+S56</f>
        <v>51632.2</v>
      </c>
      <c r="T58" s="386">
        <f t="shared" si="3"/>
        <v>392130.22339999996</v>
      </c>
      <c r="U58" s="401"/>
      <c r="V58" s="402"/>
      <c r="W58" s="402"/>
      <c r="X58" s="403"/>
    </row>
    <row r="59" spans="1:24" s="404" customFormat="1" ht="53.25" customHeight="1">
      <c r="A59" s="374"/>
      <c r="B59" s="375" t="s">
        <v>21</v>
      </c>
      <c r="C59" s="98" t="e">
        <f>C17+C53+#REF!</f>
        <v>#REF!</v>
      </c>
      <c r="D59" s="385">
        <f>D17+D53+D37</f>
        <v>43810.9</v>
      </c>
      <c r="E59" s="385" t="e">
        <f>E17+E53+#REF!</f>
        <v>#REF!</v>
      </c>
      <c r="F59" s="385" t="e">
        <f>F17+F53+#REF!</f>
        <v>#REF!</v>
      </c>
      <c r="G59" s="386">
        <v>3584.7</v>
      </c>
      <c r="H59" s="385" t="e">
        <f>H17+H53+#REF!</f>
        <v>#REF!</v>
      </c>
      <c r="I59" s="385" t="e">
        <f>I17+I53+#REF!</f>
        <v>#REF!</v>
      </c>
      <c r="J59" s="386">
        <f>J17</f>
        <v>3426.4532799999997</v>
      </c>
      <c r="K59" s="386">
        <f>K17</f>
        <v>3426.4532799999997</v>
      </c>
      <c r="L59" s="386">
        <f t="shared" si="8"/>
        <v>0</v>
      </c>
      <c r="M59" s="386">
        <f>M17+M57</f>
        <v>26530.3295</v>
      </c>
      <c r="N59" s="386">
        <f>N17+N57</f>
        <v>6442.82366</v>
      </c>
      <c r="O59" s="386"/>
      <c r="P59" s="386">
        <f>P17+P57</f>
        <v>99886.187499999985</v>
      </c>
      <c r="Q59" s="386">
        <f>Q17+Q57</f>
        <v>9699.3845000000001</v>
      </c>
      <c r="R59" s="386"/>
      <c r="S59" s="386">
        <f>S17+S57</f>
        <v>9796.8717499999984</v>
      </c>
      <c r="T59" s="386">
        <f t="shared" si="3"/>
        <v>76761.133189999993</v>
      </c>
      <c r="U59" s="401"/>
      <c r="V59" s="402"/>
      <c r="W59" s="402"/>
      <c r="X59" s="405"/>
    </row>
    <row r="60" spans="1:24" s="404" customFormat="1" ht="45" customHeight="1">
      <c r="A60" s="401"/>
      <c r="B60" s="375" t="s">
        <v>9</v>
      </c>
      <c r="C60" s="98" t="e">
        <f>#REF!</f>
        <v>#REF!</v>
      </c>
      <c r="D60" s="385">
        <f>D38</f>
        <v>6692.4</v>
      </c>
      <c r="E60" s="385" t="e">
        <f>#REF!</f>
        <v>#REF!</v>
      </c>
      <c r="F60" s="385" t="e">
        <f>#REF!</f>
        <v>#REF!</v>
      </c>
      <c r="G60" s="386">
        <v>2257.1999999999998</v>
      </c>
      <c r="H60" s="385" t="e">
        <f>#REF!</f>
        <v>#REF!</v>
      </c>
      <c r="I60" s="385" t="e">
        <f>#REF!</f>
        <v>#REF!</v>
      </c>
      <c r="J60" s="386">
        <f>J18</f>
        <v>2699.7777799999999</v>
      </c>
      <c r="K60" s="386">
        <f>K18</f>
        <v>2699.7777799999999</v>
      </c>
      <c r="L60" s="386">
        <f t="shared" si="8"/>
        <v>0</v>
      </c>
      <c r="M60" s="386">
        <f>M18</f>
        <v>0</v>
      </c>
      <c r="N60" s="386">
        <f>N18</f>
        <v>0</v>
      </c>
      <c r="O60" s="386"/>
      <c r="P60" s="386">
        <f>P18</f>
        <v>0</v>
      </c>
      <c r="Q60" s="386">
        <f>Q18</f>
        <v>0</v>
      </c>
      <c r="R60" s="386"/>
      <c r="S60" s="386">
        <f>S18</f>
        <v>0</v>
      </c>
      <c r="T60" s="386">
        <f t="shared" si="3"/>
        <v>11649.377779999999</v>
      </c>
      <c r="U60" s="401"/>
      <c r="V60" s="402"/>
      <c r="W60" s="402"/>
      <c r="X60" s="401"/>
    </row>
    <row r="61" spans="1:24" s="404" customFormat="1" ht="53.25" customHeight="1">
      <c r="A61" s="401"/>
      <c r="B61" s="39" t="s">
        <v>22</v>
      </c>
      <c r="C61" s="98" t="e">
        <f>C58+C59+C60</f>
        <v>#REF!</v>
      </c>
      <c r="D61" s="385">
        <f t="shared" ref="D61:H61" si="16">D58+D59+D60</f>
        <v>171473.4</v>
      </c>
      <c r="E61" s="385" t="e">
        <f t="shared" si="16"/>
        <v>#REF!</v>
      </c>
      <c r="F61" s="385" t="e">
        <f t="shared" si="16"/>
        <v>#REF!</v>
      </c>
      <c r="G61" s="386">
        <f>G58+G59+G60</f>
        <v>68115.141000000003</v>
      </c>
      <c r="H61" s="385" t="e">
        <f t="shared" si="16"/>
        <v>#REF!</v>
      </c>
      <c r="I61" s="385" t="e">
        <f>I58+I59+I60</f>
        <v>#REF!</v>
      </c>
      <c r="J61" s="386">
        <f>J58+J59+J60</f>
        <v>54504.781059999994</v>
      </c>
      <c r="K61" s="386">
        <f>K58+K59+K60</f>
        <v>60120.013460000002</v>
      </c>
      <c r="L61" s="386">
        <f t="shared" si="8"/>
        <v>5615.2324000000081</v>
      </c>
      <c r="M61" s="386">
        <f t="shared" ref="M61" si="17">M58+M59+M60</f>
        <v>64781.469499999999</v>
      </c>
      <c r="N61" s="386">
        <f>N58+N59+N60</f>
        <v>58071.623659999997</v>
      </c>
      <c r="O61" s="386"/>
      <c r="P61" s="386">
        <f>P58+P59+P60</f>
        <v>138202.70749999999</v>
      </c>
      <c r="Q61" s="386">
        <f t="shared" ref="Q61:S61" si="18">Q58+Q59+Q60</f>
        <v>61331.484499999999</v>
      </c>
      <c r="R61" s="386"/>
      <c r="S61" s="386">
        <f t="shared" si="18"/>
        <v>61429.071749999996</v>
      </c>
      <c r="T61" s="386">
        <f>G61+K61+N61+Q61+S61+D61</f>
        <v>480540.73436999996</v>
      </c>
      <c r="U61" s="406"/>
      <c r="V61" s="405"/>
      <c r="W61" s="405"/>
      <c r="X61" s="407"/>
    </row>
    <row r="62" spans="1:24" s="404" customFormat="1" ht="51.75" hidden="1" customHeight="1">
      <c r="A62" s="401"/>
      <c r="B62" s="39" t="s">
        <v>205</v>
      </c>
      <c r="C62" s="98"/>
      <c r="D62" s="385">
        <v>171473.4</v>
      </c>
      <c r="E62" s="385"/>
      <c r="F62" s="385"/>
      <c r="G62" s="385">
        <v>89438.2</v>
      </c>
      <c r="H62" s="385"/>
      <c r="I62" s="385"/>
      <c r="J62" s="385"/>
      <c r="K62" s="385">
        <v>60120.013460000002</v>
      </c>
      <c r="L62" s="385"/>
      <c r="N62" s="386">
        <v>58071.623659999997</v>
      </c>
      <c r="O62" s="386"/>
      <c r="P62" s="386"/>
      <c r="Q62" s="386">
        <v>61331.484499999999</v>
      </c>
      <c r="R62" s="386"/>
      <c r="S62" s="386">
        <v>61429.071750000003</v>
      </c>
      <c r="T62" s="385"/>
      <c r="U62" s="406"/>
      <c r="V62" s="405"/>
      <c r="W62" s="405"/>
      <c r="X62" s="407"/>
    </row>
    <row r="63" spans="1:24" s="404" customFormat="1" ht="51.75" hidden="1" customHeight="1">
      <c r="A63" s="401"/>
      <c r="B63" s="39" t="s">
        <v>132</v>
      </c>
      <c r="C63" s="98"/>
      <c r="D63" s="385">
        <f>D62-D61</f>
        <v>0</v>
      </c>
      <c r="E63" s="385"/>
      <c r="F63" s="385"/>
      <c r="G63" s="385">
        <f>G62-G61</f>
        <v>21323.058999999994</v>
      </c>
      <c r="H63" s="385"/>
      <c r="I63" s="385"/>
      <c r="J63" s="385"/>
      <c r="K63" s="385">
        <f>K62-K61</f>
        <v>0</v>
      </c>
      <c r="L63" s="385"/>
      <c r="N63" s="386">
        <f t="shared" ref="N63" si="19">N62-N61</f>
        <v>0</v>
      </c>
      <c r="O63" s="386"/>
      <c r="P63" s="386"/>
      <c r="Q63" s="386">
        <f>Q62-Q61</f>
        <v>0</v>
      </c>
      <c r="R63" s="386"/>
      <c r="S63" s="386">
        <f t="shared" ref="S63" si="20">S62-S61</f>
        <v>0</v>
      </c>
      <c r="T63" s="385"/>
      <c r="U63" s="406"/>
      <c r="V63" s="405"/>
      <c r="W63" s="405"/>
      <c r="X63" s="407"/>
    </row>
    <row r="64" spans="1:24" s="380" customFormat="1" ht="58.5" customHeight="1">
      <c r="A64" s="460" t="s">
        <v>23</v>
      </c>
      <c r="B64" s="460"/>
      <c r="C64" s="460"/>
      <c r="D64" s="460"/>
      <c r="E64" s="460"/>
      <c r="F64" s="460"/>
      <c r="G64" s="460"/>
      <c r="H64" s="460"/>
      <c r="I64" s="460"/>
      <c r="J64" s="460"/>
      <c r="K64" s="460"/>
      <c r="L64" s="460"/>
      <c r="M64" s="460"/>
      <c r="N64" s="460"/>
      <c r="O64" s="460"/>
      <c r="P64" s="460"/>
      <c r="Q64" s="460"/>
      <c r="R64" s="460"/>
      <c r="S64" s="460"/>
      <c r="T64" s="460"/>
      <c r="U64" s="460"/>
      <c r="V64" s="460"/>
      <c r="W64" s="460"/>
      <c r="X64" s="460"/>
    </row>
    <row r="65" spans="1:24" s="408" customFormat="1" ht="70.5" customHeight="1">
      <c r="A65" s="461" t="s">
        <v>56</v>
      </c>
      <c r="B65" s="461"/>
      <c r="C65" s="461"/>
      <c r="D65" s="461"/>
      <c r="E65" s="461"/>
      <c r="F65" s="461"/>
      <c r="G65" s="461"/>
      <c r="H65" s="461"/>
      <c r="I65" s="461"/>
      <c r="J65" s="461"/>
      <c r="K65" s="461"/>
      <c r="L65" s="461"/>
      <c r="M65" s="461"/>
      <c r="N65" s="461"/>
      <c r="O65" s="461"/>
      <c r="P65" s="461"/>
      <c r="Q65" s="461"/>
      <c r="R65" s="461"/>
      <c r="S65" s="461"/>
      <c r="T65" s="461"/>
      <c r="U65" s="461"/>
      <c r="V65" s="461"/>
      <c r="W65" s="461"/>
      <c r="X65" s="483" t="s">
        <v>122</v>
      </c>
    </row>
    <row r="66" spans="1:24" s="408" customFormat="1" ht="47.25" customHeight="1">
      <c r="A66" s="484" t="s">
        <v>50</v>
      </c>
      <c r="B66" s="484"/>
      <c r="C66" s="484"/>
      <c r="D66" s="484"/>
      <c r="E66" s="484"/>
      <c r="F66" s="484"/>
      <c r="G66" s="484"/>
      <c r="H66" s="484"/>
      <c r="I66" s="484"/>
      <c r="J66" s="484"/>
      <c r="K66" s="484"/>
      <c r="L66" s="484"/>
      <c r="M66" s="484"/>
      <c r="N66" s="484"/>
      <c r="O66" s="484"/>
      <c r="P66" s="484"/>
      <c r="Q66" s="484"/>
      <c r="R66" s="484"/>
      <c r="S66" s="484"/>
      <c r="T66" s="484"/>
      <c r="U66" s="484"/>
      <c r="V66" s="484"/>
      <c r="W66" s="484"/>
      <c r="X66" s="483"/>
    </row>
    <row r="67" spans="1:24" ht="116.45" customHeight="1">
      <c r="A67" s="39">
        <v>6</v>
      </c>
      <c r="B67" s="375" t="s">
        <v>34</v>
      </c>
      <c r="C67" s="409">
        <f>C68+C69+C70+C71+C72+C73+C74+C75+C76+C77+C78+C79+C80+C81+C82+C83+C84+C85+C86</f>
        <v>392936.81</v>
      </c>
      <c r="D67" s="385">
        <f>D68+D69+D70+D71+D72+D73+D74+D75+D76+D77+D78+D79+D80+D81+D82+D83+D84+D85+D86</f>
        <v>431644.31</v>
      </c>
      <c r="E67" s="385">
        <f>D67-C67</f>
        <v>38707.5</v>
      </c>
      <c r="F67" s="385">
        <f>F95</f>
        <v>225157.4</v>
      </c>
      <c r="G67" s="386">
        <f>G68+G69+G70+G71+G72+G73+G74+G75+G76+G77+G78+G79+G80+G81+G82+G84+G85+G83+G86+G87+G88+G89+G90</f>
        <v>597252.60576000006</v>
      </c>
      <c r="H67" s="385">
        <f>H95</f>
        <v>477459.15575999999</v>
      </c>
      <c r="I67" s="385">
        <f>I95</f>
        <v>225157.4</v>
      </c>
      <c r="J67" s="386">
        <f>J68+J69+J70+J71+J72+J73+J74+J75+J76+J77+J78+J79+J80+J81+J82+J83+J84+J85+J86+J87+J88+J89+J90</f>
        <v>355379.01821000001</v>
      </c>
      <c r="K67" s="386">
        <v>381555.01117999997</v>
      </c>
      <c r="L67" s="386">
        <f>K67-J67</f>
        <v>26175.992969999963</v>
      </c>
      <c r="M67" s="386">
        <f t="shared" ref="M67:S67" si="21">M68+M69+M70+M71+M72+M73+M74+M75+M76+M77+M78+M79+M80+M81+M82+M83+M84+M85+M86+M87+M88+M89+M90</f>
        <v>301362.49999999994</v>
      </c>
      <c r="N67" s="386">
        <f>N68+N69+N70+N71+N72+N73+N74+N75+N76+N77+N78+N79+N80+N81+N82+N83+N84+N85+N86+N87+N88+N89+N90</f>
        <v>312847.22000000009</v>
      </c>
      <c r="O67" s="386"/>
      <c r="P67" s="386">
        <f t="shared" si="21"/>
        <v>315510.99999999994</v>
      </c>
      <c r="Q67" s="386">
        <f t="shared" si="21"/>
        <v>312712.82000000007</v>
      </c>
      <c r="R67" s="386">
        <f t="shared" si="21"/>
        <v>280513</v>
      </c>
      <c r="S67" s="386">
        <f t="shared" si="21"/>
        <v>312712.82000000007</v>
      </c>
      <c r="T67" s="386">
        <f>D67+G67+K67+N67+Q67+S67</f>
        <v>2348724.78694</v>
      </c>
      <c r="U67" s="375"/>
      <c r="V67" s="375"/>
      <c r="W67" s="375" t="s">
        <v>159</v>
      </c>
      <c r="X67" s="483"/>
    </row>
    <row r="68" spans="1:24" ht="85.5" customHeight="1">
      <c r="A68" s="392" t="s">
        <v>145</v>
      </c>
      <c r="B68" s="375" t="s">
        <v>168</v>
      </c>
      <c r="C68" s="409">
        <f>280315.1-C71</f>
        <v>265773.09999999998</v>
      </c>
      <c r="D68" s="385">
        <f>431644.31-149979.36</f>
        <v>281664.95</v>
      </c>
      <c r="E68" s="385">
        <f>D68-C68</f>
        <v>15891.850000000035</v>
      </c>
      <c r="F68" s="385">
        <f>207874.7-F71</f>
        <v>195457</v>
      </c>
      <c r="G68" s="386">
        <v>288637.95</v>
      </c>
      <c r="H68" s="385">
        <f>207874.7-H71</f>
        <v>198544.90000000002</v>
      </c>
      <c r="I68" s="385">
        <f>207874.7-I71</f>
        <v>195457</v>
      </c>
      <c r="J68" s="386">
        <f>274810.28+135.732</f>
        <v>274946.01200000005</v>
      </c>
      <c r="K68" s="386">
        <v>283944.78269999998</v>
      </c>
      <c r="L68" s="386">
        <f>K68-J68</f>
        <v>8998.7706999999355</v>
      </c>
      <c r="M68" s="386">
        <v>266364.5</v>
      </c>
      <c r="N68" s="386">
        <v>280513</v>
      </c>
      <c r="O68" s="386">
        <v>280513</v>
      </c>
      <c r="P68" s="386">
        <v>280513</v>
      </c>
      <c r="Q68" s="386">
        <v>280513</v>
      </c>
      <c r="R68" s="386">
        <v>280513</v>
      </c>
      <c r="S68" s="386">
        <v>280513</v>
      </c>
      <c r="T68" s="386">
        <f t="shared" ref="T68:T102" si="22">D68+G68+K68+N68+Q68+S68</f>
        <v>1695786.6827</v>
      </c>
      <c r="U68" s="375" t="s">
        <v>12</v>
      </c>
      <c r="V68" s="375" t="s">
        <v>129</v>
      </c>
      <c r="W68" s="375"/>
      <c r="X68" s="483"/>
    </row>
    <row r="69" spans="1:24" ht="69" customHeight="1">
      <c r="A69" s="392" t="s">
        <v>146</v>
      </c>
      <c r="B69" s="375" t="s">
        <v>35</v>
      </c>
      <c r="C69" s="409">
        <v>87783.58</v>
      </c>
      <c r="D69" s="385">
        <v>107807.03</v>
      </c>
      <c r="E69" s="385">
        <f t="shared" ref="E69:E95" si="23">D69-C69</f>
        <v>20023.449999999997</v>
      </c>
      <c r="F69" s="385">
        <v>4172.5</v>
      </c>
      <c r="G69" s="386">
        <v>167317.48965999999</v>
      </c>
      <c r="H69" s="385">
        <f>G69-F69</f>
        <v>163144.98965999999</v>
      </c>
      <c r="I69" s="385">
        <v>4172.5</v>
      </c>
      <c r="J69" s="386">
        <v>32270.560310000001</v>
      </c>
      <c r="K69" s="386">
        <v>46975.17035</v>
      </c>
      <c r="L69" s="386">
        <f t="shared" ref="L69:L90" si="24">K69-J69</f>
        <v>14704.61004</v>
      </c>
      <c r="M69" s="386">
        <v>0</v>
      </c>
      <c r="N69" s="386">
        <v>134.4</v>
      </c>
      <c r="O69" s="386"/>
      <c r="P69" s="386">
        <v>0</v>
      </c>
      <c r="Q69" s="386"/>
      <c r="R69" s="386"/>
      <c r="S69" s="386"/>
      <c r="T69" s="386">
        <f t="shared" si="22"/>
        <v>322234.09001000004</v>
      </c>
      <c r="U69" s="375" t="s">
        <v>12</v>
      </c>
      <c r="V69" s="375" t="s">
        <v>138</v>
      </c>
      <c r="W69" s="375"/>
      <c r="X69" s="483"/>
    </row>
    <row r="70" spans="1:24" ht="142.5" customHeight="1">
      <c r="A70" s="392" t="s">
        <v>147</v>
      </c>
      <c r="B70" s="375" t="s">
        <v>169</v>
      </c>
      <c r="C70" s="409">
        <v>3000</v>
      </c>
      <c r="D70" s="385">
        <v>3000</v>
      </c>
      <c r="E70" s="385">
        <f t="shared" si="23"/>
        <v>0</v>
      </c>
      <c r="F70" s="385">
        <v>4500</v>
      </c>
      <c r="G70" s="386">
        <v>3600</v>
      </c>
      <c r="H70" s="385">
        <f t="shared" ref="H70:H73" si="25">G70-F70</f>
        <v>-900</v>
      </c>
      <c r="I70" s="385">
        <v>4500</v>
      </c>
      <c r="J70" s="386">
        <v>0</v>
      </c>
      <c r="K70" s="386"/>
      <c r="L70" s="386">
        <f t="shared" si="24"/>
        <v>0</v>
      </c>
      <c r="M70" s="386">
        <v>0</v>
      </c>
      <c r="N70" s="386"/>
      <c r="O70" s="386"/>
      <c r="P70" s="386">
        <v>0</v>
      </c>
      <c r="Q70" s="386"/>
      <c r="R70" s="386"/>
      <c r="S70" s="386"/>
      <c r="T70" s="386">
        <f t="shared" si="22"/>
        <v>6600</v>
      </c>
      <c r="U70" s="375" t="s">
        <v>12</v>
      </c>
      <c r="V70" s="375"/>
      <c r="W70" s="375"/>
      <c r="X70" s="483"/>
    </row>
    <row r="71" spans="1:24" ht="62.45" customHeight="1">
      <c r="A71" s="392" t="s">
        <v>148</v>
      </c>
      <c r="B71" s="375" t="s">
        <v>170</v>
      </c>
      <c r="C71" s="410">
        <v>14542</v>
      </c>
      <c r="D71" s="385">
        <v>15347.3</v>
      </c>
      <c r="E71" s="385">
        <f t="shared" si="23"/>
        <v>805.29999999999927</v>
      </c>
      <c r="F71" s="385">
        <v>12417.7</v>
      </c>
      <c r="G71" s="386">
        <v>21747.5</v>
      </c>
      <c r="H71" s="385">
        <f t="shared" si="25"/>
        <v>9329.7999999999993</v>
      </c>
      <c r="I71" s="385">
        <v>12417.7</v>
      </c>
      <c r="J71" s="386">
        <v>24787.01</v>
      </c>
      <c r="K71" s="386">
        <v>25917.41</v>
      </c>
      <c r="L71" s="386">
        <f>K71-J71</f>
        <v>1130.4000000000015</v>
      </c>
      <c r="M71" s="386">
        <v>21747.5</v>
      </c>
      <c r="N71" s="386">
        <v>26107.4</v>
      </c>
      <c r="O71" s="386"/>
      <c r="P71" s="386">
        <v>21747.5</v>
      </c>
      <c r="Q71" s="386">
        <v>26107.4</v>
      </c>
      <c r="R71" s="386"/>
      <c r="S71" s="386">
        <v>26107.4</v>
      </c>
      <c r="T71" s="386">
        <f t="shared" si="22"/>
        <v>141334.41</v>
      </c>
      <c r="U71" s="375" t="s">
        <v>12</v>
      </c>
      <c r="V71" s="375" t="s">
        <v>139</v>
      </c>
      <c r="W71" s="375"/>
      <c r="X71" s="483"/>
    </row>
    <row r="72" spans="1:24" ht="116.45" customHeight="1">
      <c r="A72" s="392" t="s">
        <v>149</v>
      </c>
      <c r="B72" s="375" t="s">
        <v>171</v>
      </c>
      <c r="C72" s="409">
        <v>13204.93</v>
      </c>
      <c r="D72" s="385">
        <v>14801.83</v>
      </c>
      <c r="E72" s="385">
        <f t="shared" si="23"/>
        <v>1596.8999999999996</v>
      </c>
      <c r="F72" s="385">
        <f>'не актуально .'!F75</f>
        <v>0</v>
      </c>
      <c r="G72" s="386">
        <v>102885.9071</v>
      </c>
      <c r="H72" s="385">
        <f t="shared" si="25"/>
        <v>102885.9071</v>
      </c>
      <c r="I72" s="385">
        <f>'не актуально .'!I75</f>
        <v>0</v>
      </c>
      <c r="J72" s="386">
        <v>8636.3459000000003</v>
      </c>
      <c r="K72" s="386">
        <v>9237.6859000000004</v>
      </c>
      <c r="L72" s="386">
        <f t="shared" si="24"/>
        <v>601.34000000000015</v>
      </c>
      <c r="M72" s="386">
        <v>0</v>
      </c>
      <c r="N72" s="386">
        <v>0</v>
      </c>
      <c r="O72" s="386"/>
      <c r="P72" s="386"/>
      <c r="Q72" s="386">
        <v>0</v>
      </c>
      <c r="R72" s="386"/>
      <c r="S72" s="386">
        <v>0</v>
      </c>
      <c r="T72" s="386">
        <f t="shared" si="22"/>
        <v>126925.423</v>
      </c>
      <c r="U72" s="375" t="s">
        <v>12</v>
      </c>
      <c r="V72" s="375" t="s">
        <v>140</v>
      </c>
      <c r="W72" s="375"/>
      <c r="X72" s="483"/>
    </row>
    <row r="73" spans="1:24" ht="36" customHeight="1">
      <c r="A73" s="471" t="s">
        <v>150</v>
      </c>
      <c r="B73" s="446" t="s">
        <v>183</v>
      </c>
      <c r="C73" s="409">
        <v>100</v>
      </c>
      <c r="D73" s="385">
        <v>100</v>
      </c>
      <c r="E73" s="385">
        <f t="shared" si="23"/>
        <v>0</v>
      </c>
      <c r="F73" s="385">
        <v>100</v>
      </c>
      <c r="G73" s="386">
        <v>1921.5</v>
      </c>
      <c r="H73" s="385">
        <f t="shared" si="25"/>
        <v>1821.5</v>
      </c>
      <c r="I73" s="385">
        <v>100</v>
      </c>
      <c r="J73" s="386">
        <v>2101.35</v>
      </c>
      <c r="K73" s="386">
        <v>2709.723</v>
      </c>
      <c r="L73" s="386">
        <f t="shared" si="24"/>
        <v>608.37300000000005</v>
      </c>
      <c r="M73" s="386">
        <v>5</v>
      </c>
      <c r="N73" s="386"/>
      <c r="O73" s="386"/>
      <c r="P73" s="386">
        <v>5</v>
      </c>
      <c r="Q73" s="386"/>
      <c r="R73" s="386"/>
      <c r="S73" s="386"/>
      <c r="T73" s="386">
        <f t="shared" si="22"/>
        <v>4731.223</v>
      </c>
      <c r="U73" s="375" t="s">
        <v>12</v>
      </c>
      <c r="V73" s="375"/>
      <c r="W73" s="375"/>
      <c r="X73" s="483"/>
    </row>
    <row r="74" spans="1:24" ht="75.599999999999994" customHeight="1">
      <c r="A74" s="482"/>
      <c r="B74" s="446"/>
      <c r="C74" s="409">
        <v>2355</v>
      </c>
      <c r="D74" s="385">
        <v>2745</v>
      </c>
      <c r="E74" s="385">
        <f t="shared" si="23"/>
        <v>390</v>
      </c>
      <c r="F74" s="385">
        <v>2355</v>
      </c>
      <c r="G74" s="386">
        <v>4689.8999999999996</v>
      </c>
      <c r="H74" s="385">
        <f>G74-F74</f>
        <v>2334.8999999999996</v>
      </c>
      <c r="I74" s="385">
        <v>2355</v>
      </c>
      <c r="J74" s="386">
        <v>4643.25</v>
      </c>
      <c r="K74" s="386">
        <v>4643.25</v>
      </c>
      <c r="L74" s="386">
        <f t="shared" si="24"/>
        <v>0</v>
      </c>
      <c r="M74" s="386">
        <v>4643.25</v>
      </c>
      <c r="N74" s="386">
        <v>0</v>
      </c>
      <c r="O74" s="386"/>
      <c r="P74" s="386">
        <v>4643.25</v>
      </c>
      <c r="Q74" s="386"/>
      <c r="R74" s="386"/>
      <c r="S74" s="386"/>
      <c r="T74" s="386">
        <f t="shared" si="22"/>
        <v>12078.15</v>
      </c>
      <c r="U74" s="375" t="s">
        <v>8</v>
      </c>
      <c r="V74" s="375" t="s">
        <v>141</v>
      </c>
      <c r="W74" s="375"/>
      <c r="X74" s="483"/>
    </row>
    <row r="75" spans="1:24" ht="37.5" customHeight="1">
      <c r="A75" s="471" t="s">
        <v>151</v>
      </c>
      <c r="B75" s="446" t="s">
        <v>172</v>
      </c>
      <c r="C75" s="409">
        <v>352.2</v>
      </c>
      <c r="D75" s="385">
        <v>352.2</v>
      </c>
      <c r="E75" s="385">
        <f t="shared" si="23"/>
        <v>0</v>
      </c>
      <c r="F75" s="385">
        <v>352.2</v>
      </c>
      <c r="G75" s="386">
        <v>352.2</v>
      </c>
      <c r="H75" s="385">
        <f t="shared" ref="H75:H90" si="26">G75-F75</f>
        <v>0</v>
      </c>
      <c r="I75" s="385">
        <v>352.2</v>
      </c>
      <c r="J75" s="386">
        <v>831.4</v>
      </c>
      <c r="K75" s="386">
        <v>831.50418000000002</v>
      </c>
      <c r="L75" s="386">
        <f t="shared" si="24"/>
        <v>0.10418000000004213</v>
      </c>
      <c r="M75" s="386">
        <f>J75</f>
        <v>831.4</v>
      </c>
      <c r="N75" s="386">
        <v>2487.6999999999998</v>
      </c>
      <c r="O75" s="386"/>
      <c r="P75" s="386">
        <f>M75</f>
        <v>831.4</v>
      </c>
      <c r="Q75" s="386">
        <v>2487.6999999999998</v>
      </c>
      <c r="R75" s="386"/>
      <c r="S75" s="386">
        <v>2487.6999999999998</v>
      </c>
      <c r="T75" s="386">
        <f t="shared" si="22"/>
        <v>8999.0041799999999</v>
      </c>
      <c r="U75" s="375" t="s">
        <v>12</v>
      </c>
      <c r="V75" s="375"/>
      <c r="W75" s="375"/>
      <c r="X75" s="483"/>
    </row>
    <row r="76" spans="1:24" ht="76.150000000000006" customHeight="1">
      <c r="A76" s="482"/>
      <c r="B76" s="446"/>
      <c r="C76" s="409">
        <v>1761</v>
      </c>
      <c r="D76" s="385">
        <v>1761</v>
      </c>
      <c r="E76" s="385">
        <f t="shared" si="23"/>
        <v>0</v>
      </c>
      <c r="F76" s="385">
        <v>1761</v>
      </c>
      <c r="G76" s="386">
        <v>1804</v>
      </c>
      <c r="H76" s="385">
        <f t="shared" si="26"/>
        <v>43</v>
      </c>
      <c r="I76" s="385">
        <v>1761</v>
      </c>
      <c r="J76" s="386">
        <v>2485.4499999999998</v>
      </c>
      <c r="K76" s="386">
        <v>2485.4499999999998</v>
      </c>
      <c r="L76" s="386">
        <f t="shared" si="24"/>
        <v>0</v>
      </c>
      <c r="M76" s="386">
        <v>2485.4499999999998</v>
      </c>
      <c r="N76" s="386"/>
      <c r="O76" s="386"/>
      <c r="P76" s="386">
        <v>2485.4499999999998</v>
      </c>
      <c r="Q76" s="386"/>
      <c r="R76" s="386"/>
      <c r="S76" s="386"/>
      <c r="T76" s="386">
        <f t="shared" si="22"/>
        <v>6050.45</v>
      </c>
      <c r="U76" s="375" t="s">
        <v>8</v>
      </c>
      <c r="V76" s="375"/>
      <c r="W76" s="375"/>
      <c r="X76" s="483"/>
    </row>
    <row r="77" spans="1:24" ht="47.25" customHeight="1">
      <c r="A77" s="471" t="s">
        <v>152</v>
      </c>
      <c r="B77" s="446" t="s">
        <v>158</v>
      </c>
      <c r="C77" s="409">
        <v>117.4</v>
      </c>
      <c r="D77" s="385">
        <v>117.4</v>
      </c>
      <c r="E77" s="385">
        <f t="shared" si="23"/>
        <v>0</v>
      </c>
      <c r="F77" s="385">
        <v>117.4</v>
      </c>
      <c r="G77" s="386">
        <v>117.4</v>
      </c>
      <c r="H77" s="385">
        <f t="shared" si="26"/>
        <v>0</v>
      </c>
      <c r="I77" s="385">
        <v>117.4</v>
      </c>
      <c r="J77" s="386">
        <v>69.150000000000006</v>
      </c>
      <c r="K77" s="386">
        <v>0.65031000000000005</v>
      </c>
      <c r="L77" s="386">
        <f t="shared" si="24"/>
        <v>-68.499690000000001</v>
      </c>
      <c r="M77" s="386">
        <v>69.150000000000006</v>
      </c>
      <c r="N77" s="386">
        <v>208.2</v>
      </c>
      <c r="O77" s="386"/>
      <c r="P77" s="386">
        <v>69.150000000000006</v>
      </c>
      <c r="Q77" s="386">
        <v>208.2</v>
      </c>
      <c r="R77" s="386"/>
      <c r="S77" s="386">
        <v>208.2</v>
      </c>
      <c r="T77" s="386">
        <f t="shared" si="22"/>
        <v>860.05031000000008</v>
      </c>
      <c r="U77" s="375" t="s">
        <v>12</v>
      </c>
      <c r="V77" s="375"/>
      <c r="W77" s="375"/>
      <c r="X77" s="483"/>
    </row>
    <row r="78" spans="1:24" ht="84.75" customHeight="1">
      <c r="A78" s="482"/>
      <c r="B78" s="485"/>
      <c r="C78" s="409">
        <v>528.29999999999995</v>
      </c>
      <c r="D78" s="385">
        <v>528.29999999999995</v>
      </c>
      <c r="E78" s="385">
        <f t="shared" si="23"/>
        <v>0</v>
      </c>
      <c r="F78" s="385">
        <v>528.29999999999995</v>
      </c>
      <c r="G78" s="386">
        <v>631.4</v>
      </c>
      <c r="H78" s="385">
        <f t="shared" si="26"/>
        <v>103.10000000000002</v>
      </c>
      <c r="I78" s="385">
        <v>528.29999999999995</v>
      </c>
      <c r="J78" s="386">
        <v>207.12</v>
      </c>
      <c r="K78" s="386">
        <v>207.12</v>
      </c>
      <c r="L78" s="386">
        <f t="shared" si="24"/>
        <v>0</v>
      </c>
      <c r="M78" s="386">
        <v>207.12</v>
      </c>
      <c r="N78" s="386"/>
      <c r="O78" s="386"/>
      <c r="P78" s="386">
        <v>207.12</v>
      </c>
      <c r="Q78" s="386"/>
      <c r="R78" s="386"/>
      <c r="S78" s="386"/>
      <c r="T78" s="386">
        <f t="shared" si="22"/>
        <v>1366.8199999999997</v>
      </c>
      <c r="U78" s="375" t="s">
        <v>8</v>
      </c>
      <c r="V78" s="375"/>
      <c r="W78" s="375"/>
      <c r="X78" s="483"/>
    </row>
    <row r="79" spans="1:24" ht="47.25" customHeight="1">
      <c r="A79" s="471" t="s">
        <v>153</v>
      </c>
      <c r="B79" s="446" t="s">
        <v>167</v>
      </c>
      <c r="C79" s="409">
        <v>293.5</v>
      </c>
      <c r="D79" s="385">
        <v>293.5</v>
      </c>
      <c r="E79" s="385">
        <f t="shared" si="23"/>
        <v>0</v>
      </c>
      <c r="F79" s="385">
        <v>293.5</v>
      </c>
      <c r="G79" s="386">
        <v>293.5</v>
      </c>
      <c r="H79" s="385">
        <f t="shared" si="26"/>
        <v>0</v>
      </c>
      <c r="I79" s="385">
        <v>293.5</v>
      </c>
      <c r="J79" s="386">
        <v>276.55</v>
      </c>
      <c r="K79" s="386">
        <v>276.66762</v>
      </c>
      <c r="L79" s="386">
        <f t="shared" si="24"/>
        <v>0.11761999999998807</v>
      </c>
      <c r="M79" s="386">
        <v>276.55</v>
      </c>
      <c r="N79" s="386">
        <v>829.2</v>
      </c>
      <c r="O79" s="386"/>
      <c r="P79" s="386">
        <v>276.55</v>
      </c>
      <c r="Q79" s="386">
        <v>829.2</v>
      </c>
      <c r="R79" s="386"/>
      <c r="S79" s="386">
        <v>829.2</v>
      </c>
      <c r="T79" s="386">
        <f t="shared" si="22"/>
        <v>3351.2676199999996</v>
      </c>
      <c r="U79" s="375" t="s">
        <v>12</v>
      </c>
      <c r="V79" s="375"/>
      <c r="W79" s="375"/>
      <c r="X79" s="483"/>
    </row>
    <row r="80" spans="1:24" ht="62.25" customHeight="1">
      <c r="A80" s="482"/>
      <c r="B80" s="485"/>
      <c r="C80" s="409">
        <v>880.5</v>
      </c>
      <c r="D80" s="385">
        <v>880.5</v>
      </c>
      <c r="E80" s="385">
        <f t="shared" si="23"/>
        <v>0</v>
      </c>
      <c r="F80" s="385">
        <v>880.5</v>
      </c>
      <c r="G80" s="386">
        <v>902</v>
      </c>
      <c r="H80" s="385">
        <f t="shared" si="26"/>
        <v>21.5</v>
      </c>
      <c r="I80" s="385">
        <v>880.5</v>
      </c>
      <c r="J80" s="386">
        <v>828.48</v>
      </c>
      <c r="K80" s="386">
        <v>828.48</v>
      </c>
      <c r="L80" s="386">
        <f t="shared" si="24"/>
        <v>0</v>
      </c>
      <c r="M80" s="386">
        <v>828.48</v>
      </c>
      <c r="N80" s="386"/>
      <c r="O80" s="386"/>
      <c r="P80" s="386">
        <v>828.48</v>
      </c>
      <c r="Q80" s="386"/>
      <c r="R80" s="386"/>
      <c r="S80" s="386"/>
      <c r="T80" s="386">
        <f t="shared" si="22"/>
        <v>2610.98</v>
      </c>
      <c r="U80" s="375" t="s">
        <v>8</v>
      </c>
      <c r="V80" s="375"/>
      <c r="W80" s="375"/>
      <c r="X80" s="483"/>
    </row>
    <row r="81" spans="1:24" ht="75.599999999999994" customHeight="1">
      <c r="A81" s="471" t="s">
        <v>154</v>
      </c>
      <c r="B81" s="446" t="s">
        <v>173</v>
      </c>
      <c r="C81" s="409">
        <v>234.8</v>
      </c>
      <c r="D81" s="385">
        <v>234.8</v>
      </c>
      <c r="E81" s="385">
        <f t="shared" si="23"/>
        <v>0</v>
      </c>
      <c r="F81" s="385">
        <v>234.8</v>
      </c>
      <c r="G81" s="386">
        <v>234.8</v>
      </c>
      <c r="H81" s="385">
        <f t="shared" si="26"/>
        <v>0</v>
      </c>
      <c r="I81" s="385">
        <v>234.8</v>
      </c>
      <c r="J81" s="386">
        <v>414.55</v>
      </c>
      <c r="K81" s="386">
        <v>414.55</v>
      </c>
      <c r="L81" s="386">
        <f t="shared" si="24"/>
        <v>0</v>
      </c>
      <c r="M81" s="386">
        <v>414.55</v>
      </c>
      <c r="N81" s="386">
        <v>1243.9000000000001</v>
      </c>
      <c r="O81" s="386"/>
      <c r="P81" s="386">
        <v>414.55</v>
      </c>
      <c r="Q81" s="386">
        <v>1243.9000000000001</v>
      </c>
      <c r="R81" s="386"/>
      <c r="S81" s="386">
        <v>1243.9000000000001</v>
      </c>
      <c r="T81" s="386">
        <f t="shared" si="22"/>
        <v>4615.8500000000004</v>
      </c>
      <c r="U81" s="375" t="s">
        <v>12</v>
      </c>
      <c r="V81" s="375"/>
      <c r="W81" s="375"/>
      <c r="X81" s="483"/>
    </row>
    <row r="82" spans="1:24" ht="63.6" customHeight="1">
      <c r="A82" s="482"/>
      <c r="B82" s="446"/>
      <c r="C82" s="409">
        <v>1584.9</v>
      </c>
      <c r="D82" s="385">
        <v>1584.9</v>
      </c>
      <c r="E82" s="385">
        <f t="shared" si="23"/>
        <v>0</v>
      </c>
      <c r="F82" s="385">
        <v>1584.9</v>
      </c>
      <c r="G82" s="386">
        <v>721.6</v>
      </c>
      <c r="H82" s="385">
        <f t="shared" si="26"/>
        <v>-863.30000000000007</v>
      </c>
      <c r="I82" s="385">
        <v>1584.9</v>
      </c>
      <c r="J82" s="386">
        <v>1242.73</v>
      </c>
      <c r="K82" s="386">
        <v>1242.73</v>
      </c>
      <c r="L82" s="386">
        <f t="shared" si="24"/>
        <v>0</v>
      </c>
      <c r="M82" s="386">
        <v>1242.73</v>
      </c>
      <c r="N82" s="386"/>
      <c r="O82" s="386"/>
      <c r="P82" s="386">
        <v>1242.73</v>
      </c>
      <c r="Q82" s="386"/>
      <c r="R82" s="386"/>
      <c r="S82" s="386"/>
      <c r="T82" s="386">
        <f t="shared" si="22"/>
        <v>3549.23</v>
      </c>
      <c r="U82" s="375" t="s">
        <v>8</v>
      </c>
      <c r="V82" s="375"/>
      <c r="W82" s="375"/>
      <c r="X82" s="483"/>
    </row>
    <row r="83" spans="1:24" ht="57" customHeight="1">
      <c r="A83" s="471" t="s">
        <v>155</v>
      </c>
      <c r="B83" s="446" t="s">
        <v>174</v>
      </c>
      <c r="C83" s="409">
        <v>10</v>
      </c>
      <c r="D83" s="385">
        <v>10</v>
      </c>
      <c r="E83" s="385">
        <f t="shared" si="23"/>
        <v>0</v>
      </c>
      <c r="F83" s="385">
        <v>10</v>
      </c>
      <c r="G83" s="386">
        <v>16.5</v>
      </c>
      <c r="H83" s="385">
        <f t="shared" si="26"/>
        <v>6.5</v>
      </c>
      <c r="I83" s="385">
        <v>10</v>
      </c>
      <c r="J83" s="386">
        <v>154.30000000000001</v>
      </c>
      <c r="K83" s="386">
        <v>154.45291</v>
      </c>
      <c r="L83" s="386">
        <f t="shared" si="24"/>
        <v>0.15290999999999144</v>
      </c>
      <c r="M83" s="386">
        <v>304.3</v>
      </c>
      <c r="N83" s="386">
        <v>151.9</v>
      </c>
      <c r="O83" s="386"/>
      <c r="P83" s="386">
        <v>304.3</v>
      </c>
      <c r="Q83" s="386">
        <v>151.9</v>
      </c>
      <c r="R83" s="386"/>
      <c r="S83" s="386">
        <v>151.9</v>
      </c>
      <c r="T83" s="386">
        <f t="shared" si="22"/>
        <v>636.65291000000002</v>
      </c>
      <c r="U83" s="375" t="s">
        <v>12</v>
      </c>
      <c r="V83" s="375"/>
      <c r="W83" s="375"/>
      <c r="X83" s="483"/>
    </row>
    <row r="84" spans="1:24" ht="53.45" customHeight="1">
      <c r="A84" s="482"/>
      <c r="B84" s="473"/>
      <c r="C84" s="409">
        <v>322.60000000000002</v>
      </c>
      <c r="D84" s="385">
        <v>322.60000000000002</v>
      </c>
      <c r="E84" s="385">
        <f t="shared" si="23"/>
        <v>0</v>
      </c>
      <c r="F84" s="385">
        <v>322.60000000000002</v>
      </c>
      <c r="G84" s="386">
        <v>912.8</v>
      </c>
      <c r="H84" s="385">
        <f t="shared" si="26"/>
        <v>590.19999999999993</v>
      </c>
      <c r="I84" s="385">
        <v>322.60000000000002</v>
      </c>
      <c r="J84" s="386">
        <v>455.04</v>
      </c>
      <c r="K84" s="386">
        <v>455.04</v>
      </c>
      <c r="L84" s="386">
        <f t="shared" si="24"/>
        <v>0</v>
      </c>
      <c r="M84" s="386">
        <v>912.8</v>
      </c>
      <c r="N84" s="386">
        <v>455.72</v>
      </c>
      <c r="O84" s="386"/>
      <c r="P84" s="386">
        <v>912.8</v>
      </c>
      <c r="Q84" s="386">
        <v>455.72</v>
      </c>
      <c r="R84" s="386"/>
      <c r="S84" s="386">
        <v>455.72</v>
      </c>
      <c r="T84" s="386">
        <f t="shared" si="22"/>
        <v>3057.6000000000004</v>
      </c>
      <c r="U84" s="375" t="s">
        <v>62</v>
      </c>
      <c r="V84" s="375"/>
      <c r="W84" s="375"/>
      <c r="X84" s="483"/>
    </row>
    <row r="85" spans="1:24" ht="47.25" customHeight="1">
      <c r="A85" s="471" t="s">
        <v>156</v>
      </c>
      <c r="B85" s="446" t="s">
        <v>175</v>
      </c>
      <c r="C85" s="409">
        <v>23</v>
      </c>
      <c r="D85" s="385">
        <v>23</v>
      </c>
      <c r="E85" s="385">
        <f t="shared" si="23"/>
        <v>0</v>
      </c>
      <c r="F85" s="385"/>
      <c r="G85" s="386">
        <v>4</v>
      </c>
      <c r="H85" s="385">
        <f t="shared" si="26"/>
        <v>4</v>
      </c>
      <c r="I85" s="385"/>
      <c r="J85" s="386">
        <v>0.1</v>
      </c>
      <c r="K85" s="386">
        <v>0.1</v>
      </c>
      <c r="L85" s="386">
        <f t="shared" si="24"/>
        <v>0</v>
      </c>
      <c r="M85" s="386">
        <v>0.1</v>
      </c>
      <c r="N85" s="386">
        <v>0</v>
      </c>
      <c r="O85" s="386"/>
      <c r="P85" s="386">
        <v>0.1</v>
      </c>
      <c r="Q85" s="386">
        <v>0</v>
      </c>
      <c r="R85" s="386"/>
      <c r="S85" s="386">
        <v>0</v>
      </c>
      <c r="T85" s="386">
        <f t="shared" si="22"/>
        <v>27.1</v>
      </c>
      <c r="U85" s="375" t="s">
        <v>117</v>
      </c>
      <c r="V85" s="375"/>
      <c r="W85" s="375"/>
      <c r="X85" s="483"/>
    </row>
    <row r="86" spans="1:24" ht="124.15" customHeight="1">
      <c r="A86" s="482"/>
      <c r="B86" s="473"/>
      <c r="C86" s="409">
        <v>70</v>
      </c>
      <c r="D86" s="385">
        <v>70</v>
      </c>
      <c r="E86" s="385">
        <f t="shared" si="23"/>
        <v>0</v>
      </c>
      <c r="F86" s="385">
        <v>70</v>
      </c>
      <c r="G86" s="386">
        <v>60</v>
      </c>
      <c r="H86" s="385">
        <f t="shared" si="26"/>
        <v>-10</v>
      </c>
      <c r="I86" s="385">
        <v>70</v>
      </c>
      <c r="J86" s="386">
        <v>70</v>
      </c>
      <c r="K86" s="386">
        <v>47.74221</v>
      </c>
      <c r="L86" s="386">
        <f t="shared" si="24"/>
        <v>-22.25779</v>
      </c>
      <c r="M86" s="386">
        <v>70</v>
      </c>
      <c r="N86" s="386">
        <v>0</v>
      </c>
      <c r="O86" s="386"/>
      <c r="P86" s="386">
        <v>70</v>
      </c>
      <c r="Q86" s="386">
        <v>0</v>
      </c>
      <c r="R86" s="386"/>
      <c r="S86" s="386">
        <v>0</v>
      </c>
      <c r="T86" s="386">
        <f t="shared" si="22"/>
        <v>177.74221</v>
      </c>
      <c r="U86" s="375" t="s">
        <v>62</v>
      </c>
      <c r="V86" s="375"/>
      <c r="W86" s="375"/>
      <c r="X86" s="483"/>
    </row>
    <row r="87" spans="1:24" ht="48.75" customHeight="1">
      <c r="A87" s="471" t="s">
        <v>157</v>
      </c>
      <c r="B87" s="446" t="s">
        <v>176</v>
      </c>
      <c r="C87" s="409"/>
      <c r="D87" s="385">
        <v>0</v>
      </c>
      <c r="E87" s="385"/>
      <c r="F87" s="385"/>
      <c r="G87" s="386">
        <v>2.4</v>
      </c>
      <c r="H87" s="385">
        <f>G87-F87</f>
        <v>2.4</v>
      </c>
      <c r="I87" s="385"/>
      <c r="J87" s="386">
        <v>0</v>
      </c>
      <c r="K87" s="386"/>
      <c r="L87" s="386">
        <f t="shared" si="24"/>
        <v>0</v>
      </c>
      <c r="M87" s="386">
        <f>J87</f>
        <v>0</v>
      </c>
      <c r="N87" s="386">
        <v>0</v>
      </c>
      <c r="O87" s="386"/>
      <c r="P87" s="386">
        <v>0</v>
      </c>
      <c r="Q87" s="386">
        <v>0</v>
      </c>
      <c r="R87" s="386"/>
      <c r="S87" s="386">
        <v>0</v>
      </c>
      <c r="T87" s="386">
        <f t="shared" si="22"/>
        <v>2.4</v>
      </c>
      <c r="U87" s="375" t="s">
        <v>117</v>
      </c>
      <c r="V87" s="375"/>
      <c r="W87" s="375"/>
      <c r="X87" s="483"/>
    </row>
    <row r="88" spans="1:24" ht="87" customHeight="1">
      <c r="A88" s="482"/>
      <c r="B88" s="473"/>
      <c r="C88" s="409"/>
      <c r="D88" s="385">
        <v>0</v>
      </c>
      <c r="E88" s="385"/>
      <c r="F88" s="385"/>
      <c r="G88" s="386">
        <v>240.6</v>
      </c>
      <c r="H88" s="385">
        <f t="shared" si="26"/>
        <v>240.6</v>
      </c>
      <c r="I88" s="385"/>
      <c r="J88" s="386">
        <v>0</v>
      </c>
      <c r="K88" s="386"/>
      <c r="L88" s="386">
        <f t="shared" si="24"/>
        <v>0</v>
      </c>
      <c r="M88" s="386">
        <f>J88</f>
        <v>0</v>
      </c>
      <c r="N88" s="386">
        <v>0</v>
      </c>
      <c r="O88" s="386"/>
      <c r="P88" s="386">
        <v>0</v>
      </c>
      <c r="Q88" s="386">
        <v>0</v>
      </c>
      <c r="R88" s="386"/>
      <c r="S88" s="386">
        <v>0</v>
      </c>
      <c r="T88" s="386">
        <f t="shared" si="22"/>
        <v>240.6</v>
      </c>
      <c r="U88" s="375" t="s">
        <v>62</v>
      </c>
      <c r="V88" s="375"/>
      <c r="W88" s="375"/>
      <c r="X88" s="483"/>
    </row>
    <row r="89" spans="1:24" ht="93" customHeight="1">
      <c r="A89" s="471" t="s">
        <v>194</v>
      </c>
      <c r="B89" s="456" t="s">
        <v>191</v>
      </c>
      <c r="C89" s="409"/>
      <c r="D89" s="385">
        <v>0</v>
      </c>
      <c r="E89" s="385"/>
      <c r="F89" s="385"/>
      <c r="G89" s="386">
        <v>0.159</v>
      </c>
      <c r="H89" s="385">
        <f t="shared" si="26"/>
        <v>0.159</v>
      </c>
      <c r="I89" s="385"/>
      <c r="J89" s="386">
        <v>245</v>
      </c>
      <c r="K89" s="386">
        <v>245</v>
      </c>
      <c r="L89" s="386">
        <f t="shared" si="24"/>
        <v>0</v>
      </c>
      <c r="M89" s="386">
        <v>245</v>
      </c>
      <c r="N89" s="386">
        <v>715.8</v>
      </c>
      <c r="O89" s="386"/>
      <c r="P89" s="386">
        <v>245</v>
      </c>
      <c r="Q89" s="386">
        <v>715.8</v>
      </c>
      <c r="R89" s="386"/>
      <c r="S89" s="386">
        <v>715.8</v>
      </c>
      <c r="T89" s="386">
        <f t="shared" si="22"/>
        <v>2392.5590000000002</v>
      </c>
      <c r="U89" s="375" t="s">
        <v>117</v>
      </c>
      <c r="V89" s="375"/>
      <c r="W89" s="375"/>
      <c r="X89" s="382"/>
    </row>
    <row r="90" spans="1:24" ht="140.25" customHeight="1">
      <c r="A90" s="482"/>
      <c r="B90" s="470"/>
      <c r="C90" s="409"/>
      <c r="D90" s="385">
        <v>0</v>
      </c>
      <c r="E90" s="385"/>
      <c r="F90" s="385"/>
      <c r="G90" s="386">
        <v>159</v>
      </c>
      <c r="H90" s="385">
        <f t="shared" si="26"/>
        <v>159</v>
      </c>
      <c r="I90" s="385"/>
      <c r="J90" s="386">
        <v>714.62</v>
      </c>
      <c r="K90" s="386">
        <v>714.62</v>
      </c>
      <c r="L90" s="386">
        <f t="shared" si="24"/>
        <v>0</v>
      </c>
      <c r="M90" s="386">
        <v>714.62</v>
      </c>
      <c r="N90" s="386"/>
      <c r="O90" s="386"/>
      <c r="P90" s="386">
        <f>M90</f>
        <v>714.62</v>
      </c>
      <c r="Q90" s="386"/>
      <c r="R90" s="386"/>
      <c r="S90" s="386"/>
      <c r="T90" s="386">
        <f t="shared" si="22"/>
        <v>873.62</v>
      </c>
      <c r="U90" s="375" t="s">
        <v>62</v>
      </c>
      <c r="V90" s="375"/>
      <c r="W90" s="375"/>
      <c r="X90" s="382"/>
    </row>
    <row r="91" spans="1:24" ht="57" customHeight="1">
      <c r="A91" s="392" t="s">
        <v>226</v>
      </c>
      <c r="B91" s="388" t="s">
        <v>225</v>
      </c>
      <c r="C91" s="409"/>
      <c r="D91" s="385"/>
      <c r="E91" s="385"/>
      <c r="F91" s="385"/>
      <c r="G91" s="386"/>
      <c r="H91" s="385"/>
      <c r="I91" s="385"/>
      <c r="J91" s="386"/>
      <c r="K91" s="386">
        <v>135.732</v>
      </c>
      <c r="L91" s="386"/>
      <c r="M91" s="386"/>
      <c r="N91" s="386"/>
      <c r="O91" s="386"/>
      <c r="P91" s="386"/>
      <c r="Q91" s="386"/>
      <c r="R91" s="386"/>
      <c r="S91" s="386"/>
      <c r="T91" s="386">
        <f t="shared" si="22"/>
        <v>135.732</v>
      </c>
      <c r="U91" s="375" t="s">
        <v>117</v>
      </c>
      <c r="V91" s="375"/>
      <c r="W91" s="375"/>
      <c r="X91" s="382"/>
    </row>
    <row r="92" spans="1:24" ht="57" customHeight="1">
      <c r="A92" s="392" t="s">
        <v>227</v>
      </c>
      <c r="B92" s="388" t="s">
        <v>228</v>
      </c>
      <c r="C92" s="409"/>
      <c r="D92" s="385"/>
      <c r="E92" s="385"/>
      <c r="F92" s="385"/>
      <c r="G92" s="386"/>
      <c r="H92" s="385"/>
      <c r="I92" s="385"/>
      <c r="J92" s="386"/>
      <c r="K92" s="386">
        <v>87.15</v>
      </c>
      <c r="L92" s="386"/>
      <c r="M92" s="386"/>
      <c r="N92" s="386"/>
      <c r="O92" s="386"/>
      <c r="P92" s="386"/>
      <c r="Q92" s="386"/>
      <c r="R92" s="386"/>
      <c r="S92" s="386"/>
      <c r="T92" s="386">
        <f t="shared" si="22"/>
        <v>87.15</v>
      </c>
      <c r="U92" s="375" t="s">
        <v>117</v>
      </c>
      <c r="V92" s="375"/>
      <c r="W92" s="375"/>
      <c r="X92" s="382"/>
    </row>
    <row r="93" spans="1:24" s="411" customFormat="1" ht="32.25" customHeight="1">
      <c r="A93" s="400"/>
      <c r="B93" s="388" t="s">
        <v>20</v>
      </c>
      <c r="C93" s="409">
        <f>C68+C69+C70+C71+C72+C73+C75+C77+C79+C81+C83+C85</f>
        <v>385434.51</v>
      </c>
      <c r="D93" s="385">
        <f>D68+D69+D70+D71+D72+D73+D75+D77+D79+D81+D83+D85</f>
        <v>423752.01</v>
      </c>
      <c r="E93" s="385">
        <f>D93-C93</f>
        <v>38317.5</v>
      </c>
      <c r="F93" s="385">
        <f>F68+F69+F70+F71+F72+F73+F75+F77+F79+F81+F83+F85</f>
        <v>217655.1</v>
      </c>
      <c r="G93" s="386">
        <f>G68+G69+G70+G71+G72+G73+G75+G77+G79+G81+G83+G85+G87+G89</f>
        <v>587131.30576000002</v>
      </c>
      <c r="H93" s="386">
        <f>H68+H69+H70+H71+H72+H73+H75+H77+H79+H81+H83+H85+H87+H89</f>
        <v>474840.15575999999</v>
      </c>
      <c r="I93" s="386">
        <f>I68+I69+I70+I71+I72+I73+I75+I77+I79+I81+I83+I85+I87+I89</f>
        <v>217655.1</v>
      </c>
      <c r="J93" s="386">
        <f>J68+J69+J70+J71+J72+J73+J75+J77+J79+J81+J83+J85+J87+J89</f>
        <v>344732.32821000007</v>
      </c>
      <c r="K93" s="386">
        <f>K68+K69+K70+K71+K72+K73+K75+K77+K79+K81+K83+K85+K87+K89+K91+K92</f>
        <v>370930.57896999997</v>
      </c>
      <c r="L93" s="386">
        <f>L68+L69+L70+L71+L72+L73+L75+L77+L79+L81+L83+L85+L87+L89</f>
        <v>25975.368759999936</v>
      </c>
      <c r="M93" s="386">
        <f>M68+M69+M70+M71+M72+M73+M75+M77+M79+M81+M83+M85+M87+M89</f>
        <v>290258.05</v>
      </c>
      <c r="N93" s="386">
        <f>N68+N69+N70+N71+N72+N73+N75+N77+N79+N81+N83+N85+N87+N89</f>
        <v>312391.50000000012</v>
      </c>
      <c r="O93" s="386"/>
      <c r="P93" s="386">
        <f>P68+P69+P70+P71+P72+P73+P75+P77+P79+P81+P83+P85+P87+P89</f>
        <v>304406.55</v>
      </c>
      <c r="Q93" s="386">
        <f>Q68+Q69+Q70+Q71+Q72+Q73+Q75+Q77+Q79+Q81+Q83+Q85+Q87+Q89</f>
        <v>312257.10000000009</v>
      </c>
      <c r="R93" s="386"/>
      <c r="S93" s="386">
        <f>S68+S69+S70+S71+S72+S73+S75+S77+S79+S81+S83+S85+S87+S89</f>
        <v>312257.10000000009</v>
      </c>
      <c r="T93" s="386">
        <f t="shared" si="22"/>
        <v>2318719.5947300005</v>
      </c>
      <c r="U93" s="401"/>
      <c r="V93" s="402"/>
      <c r="W93" s="402"/>
      <c r="X93" s="402"/>
    </row>
    <row r="94" spans="1:24" s="411" customFormat="1" ht="35.25" customHeight="1">
      <c r="A94" s="401"/>
      <c r="B94" s="375" t="s">
        <v>21</v>
      </c>
      <c r="C94" s="409">
        <f>C74+C76+C78+C80+C82+C84+C86</f>
        <v>7502.3000000000011</v>
      </c>
      <c r="D94" s="385">
        <f>D74+D76+D78+D80+D82+D84+D86</f>
        <v>7892.3000000000011</v>
      </c>
      <c r="E94" s="385">
        <f t="shared" si="23"/>
        <v>390</v>
      </c>
      <c r="F94" s="385">
        <f>F74+F76+F78+F80+F82+F84+F86</f>
        <v>7502.3000000000011</v>
      </c>
      <c r="G94" s="386">
        <f t="shared" ref="G94:N94" si="27">G74+G76+G78+G80+G82+G84+G86+G88+G90</f>
        <v>10121.299999999999</v>
      </c>
      <c r="H94" s="386">
        <f t="shared" si="27"/>
        <v>2618.9999999999991</v>
      </c>
      <c r="I94" s="386">
        <f t="shared" si="27"/>
        <v>7502.3000000000011</v>
      </c>
      <c r="J94" s="386">
        <f t="shared" si="27"/>
        <v>10646.69</v>
      </c>
      <c r="K94" s="386">
        <f t="shared" si="27"/>
        <v>10624.432210000001</v>
      </c>
      <c r="L94" s="386">
        <f t="shared" si="27"/>
        <v>-22.25779</v>
      </c>
      <c r="M94" s="386">
        <f t="shared" si="27"/>
        <v>11104.449999999999</v>
      </c>
      <c r="N94" s="386">
        <f t="shared" si="27"/>
        <v>455.72</v>
      </c>
      <c r="O94" s="386"/>
      <c r="P94" s="386">
        <f>P74+P76+P78+P80+P82+P84+P86+P88+P90</f>
        <v>11104.449999999999</v>
      </c>
      <c r="Q94" s="386">
        <f>Q74+Q76+Q78+Q80+Q82+Q84+Q86+Q88+Q90</f>
        <v>455.72</v>
      </c>
      <c r="R94" s="386"/>
      <c r="S94" s="386">
        <f>S74+S76+S78+S80+S82+S84+S86+S88+S90</f>
        <v>455.72</v>
      </c>
      <c r="T94" s="386">
        <f t="shared" si="22"/>
        <v>30005.192210000001</v>
      </c>
      <c r="U94" s="401"/>
      <c r="V94" s="402"/>
      <c r="W94" s="405"/>
      <c r="X94" s="402"/>
    </row>
    <row r="95" spans="1:24" s="411" customFormat="1" ht="37.5" customHeight="1">
      <c r="A95" s="401"/>
      <c r="B95" s="39" t="s">
        <v>22</v>
      </c>
      <c r="C95" s="409">
        <f>C93+C94</f>
        <v>392936.81</v>
      </c>
      <c r="D95" s="385">
        <f>D93+D94</f>
        <v>431644.31</v>
      </c>
      <c r="E95" s="385">
        <f t="shared" si="23"/>
        <v>38707.5</v>
      </c>
      <c r="F95" s="385">
        <f>F93+F94</f>
        <v>225157.4</v>
      </c>
      <c r="G95" s="386">
        <f>G93+G94</f>
        <v>597252.60576000006</v>
      </c>
      <c r="H95" s="386">
        <f t="shared" ref="H95:I95" si="28">H93+H94</f>
        <v>477459.15575999999</v>
      </c>
      <c r="I95" s="386">
        <f t="shared" si="28"/>
        <v>225157.4</v>
      </c>
      <c r="J95" s="386">
        <f>J93+J94</f>
        <v>355379.01821000007</v>
      </c>
      <c r="K95" s="386">
        <f>K93+K94</f>
        <v>381555.01117999997</v>
      </c>
      <c r="L95" s="386"/>
      <c r="M95" s="386">
        <f>M93+M94</f>
        <v>301362.5</v>
      </c>
      <c r="N95" s="386">
        <f>N93+N94</f>
        <v>312847.22000000009</v>
      </c>
      <c r="O95" s="386"/>
      <c r="P95" s="386">
        <f>P93+P94</f>
        <v>315511</v>
      </c>
      <c r="Q95" s="386">
        <f>Q93+Q94</f>
        <v>312712.82000000007</v>
      </c>
      <c r="R95" s="386"/>
      <c r="S95" s="386">
        <f>S93+S94</f>
        <v>312712.82000000007</v>
      </c>
      <c r="T95" s="386">
        <f t="shared" si="22"/>
        <v>2348724.78694</v>
      </c>
      <c r="U95" s="401"/>
      <c r="V95" s="402"/>
      <c r="W95" s="402"/>
      <c r="X95" s="402"/>
    </row>
    <row r="96" spans="1:24" s="411" customFormat="1" ht="35.25" hidden="1" customHeight="1">
      <c r="A96" s="401"/>
      <c r="B96" s="39" t="s">
        <v>132</v>
      </c>
      <c r="C96" s="409"/>
      <c r="D96" s="385">
        <v>431644.31</v>
      </c>
      <c r="E96" s="385"/>
      <c r="F96" s="385"/>
      <c r="G96" s="386"/>
      <c r="H96" s="385"/>
      <c r="I96" s="385"/>
      <c r="J96" s="406"/>
      <c r="K96" s="406">
        <v>381555.01117999997</v>
      </c>
      <c r="L96" s="406"/>
      <c r="M96" s="406">
        <v>312847.21999999997</v>
      </c>
      <c r="N96" s="406">
        <v>312847.21999999997</v>
      </c>
      <c r="O96" s="406"/>
      <c r="P96" s="406"/>
      <c r="Q96" s="406">
        <v>312712.82</v>
      </c>
      <c r="R96" s="406"/>
      <c r="S96" s="406">
        <v>312712.82</v>
      </c>
      <c r="T96" s="386">
        <f>D96+G96+K96+N96+Q96+S96</f>
        <v>1751472.1811800001</v>
      </c>
      <c r="U96" s="401"/>
      <c r="V96" s="402"/>
      <c r="W96" s="402"/>
      <c r="X96" s="402"/>
    </row>
    <row r="97" spans="1:24" s="411" customFormat="1" ht="26.25" hidden="1">
      <c r="A97" s="401"/>
      <c r="B97" s="39" t="s">
        <v>132</v>
      </c>
      <c r="C97" s="409"/>
      <c r="D97" s="412">
        <f>D96-D95</f>
        <v>0</v>
      </c>
      <c r="E97" s="412"/>
      <c r="F97" s="412"/>
      <c r="G97" s="386"/>
      <c r="H97" s="412">
        <f t="shared" ref="H97:L97" si="29">H96-H95</f>
        <v>-477459.15575999999</v>
      </c>
      <c r="I97" s="412">
        <f t="shared" si="29"/>
        <v>-225157.4</v>
      </c>
      <c r="J97" s="406"/>
      <c r="K97" s="406">
        <f>K96-K95</f>
        <v>0</v>
      </c>
      <c r="L97" s="406">
        <f t="shared" si="29"/>
        <v>0</v>
      </c>
      <c r="M97" s="406">
        <f>M96-M95</f>
        <v>11484.719999999972</v>
      </c>
      <c r="N97" s="406">
        <f>N96-N95</f>
        <v>0</v>
      </c>
      <c r="O97" s="406"/>
      <c r="P97" s="406"/>
      <c r="Q97" s="406">
        <f>Q96-Q95</f>
        <v>0</v>
      </c>
      <c r="R97" s="406"/>
      <c r="S97" s="406">
        <f t="shared" ref="S97" si="30">S96-S95</f>
        <v>0</v>
      </c>
      <c r="T97" s="386">
        <f t="shared" si="22"/>
        <v>0</v>
      </c>
      <c r="U97" s="401"/>
      <c r="V97" s="402"/>
      <c r="W97" s="402"/>
      <c r="X97" s="402"/>
    </row>
    <row r="98" spans="1:24" s="411" customFormat="1" ht="107.45" customHeight="1">
      <c r="A98" s="401"/>
      <c r="B98" s="39"/>
      <c r="C98" s="409"/>
      <c r="D98" s="412"/>
      <c r="E98" s="412"/>
      <c r="F98" s="412"/>
      <c r="G98" s="386"/>
      <c r="H98" s="412"/>
      <c r="I98" s="412"/>
      <c r="J98" s="406"/>
      <c r="K98" s="406"/>
      <c r="L98" s="406"/>
      <c r="M98" s="406"/>
      <c r="N98" s="406"/>
      <c r="O98" s="406"/>
      <c r="P98" s="406"/>
      <c r="Q98" s="406"/>
      <c r="R98" s="406"/>
      <c r="S98" s="406"/>
      <c r="T98" s="386"/>
      <c r="U98" s="401"/>
      <c r="V98" s="402"/>
      <c r="W98" s="402"/>
      <c r="X98" s="402"/>
    </row>
    <row r="99" spans="1:24" s="411" customFormat="1" ht="53.25" customHeight="1">
      <c r="A99" s="401"/>
      <c r="B99" s="39" t="s">
        <v>24</v>
      </c>
      <c r="C99" s="98" t="e">
        <f>C100+C101+C102</f>
        <v>#REF!</v>
      </c>
      <c r="D99" s="385">
        <f>D100+D101+D102</f>
        <v>603117.71</v>
      </c>
      <c r="E99" s="385" t="e">
        <f>E100+E101+E102</f>
        <v>#REF!</v>
      </c>
      <c r="F99" s="385" t="e">
        <f>F100+F101+F102</f>
        <v>#REF!</v>
      </c>
      <c r="G99" s="386">
        <f>G100+G101+G102</f>
        <v>665367.74676000001</v>
      </c>
      <c r="H99" s="386" t="e">
        <f t="shared" ref="H99:I99" si="31">H100+H101+H102</f>
        <v>#REF!</v>
      </c>
      <c r="I99" s="386" t="e">
        <f t="shared" si="31"/>
        <v>#REF!</v>
      </c>
      <c r="J99" s="386">
        <f>J100+J101+J102</f>
        <v>409883.79927000008</v>
      </c>
      <c r="K99" s="386">
        <f>K100+K101+K102</f>
        <v>441675.02464000002</v>
      </c>
      <c r="L99" s="386">
        <f t="shared" ref="L99:N99" si="32">L100+L101+L102</f>
        <v>31568.343369999944</v>
      </c>
      <c r="M99" s="386">
        <f t="shared" si="32"/>
        <v>366143.96950000001</v>
      </c>
      <c r="N99" s="386">
        <f t="shared" si="32"/>
        <v>370918.84366000013</v>
      </c>
      <c r="O99" s="386"/>
      <c r="P99" s="386">
        <f>P100+P101+P102</f>
        <v>453713.70750000002</v>
      </c>
      <c r="Q99" s="386">
        <f>Q100+Q101+Q102</f>
        <v>374044.30450000009</v>
      </c>
      <c r="R99" s="386"/>
      <c r="S99" s="386">
        <f>S100+S101+S102</f>
        <v>374141.89175000013</v>
      </c>
      <c r="T99" s="386">
        <f>D99+G99+K99+N99+Q99+S99</f>
        <v>2829265.5213100002</v>
      </c>
      <c r="U99" s="413"/>
      <c r="V99" s="414"/>
      <c r="W99" s="414"/>
      <c r="X99" s="402"/>
    </row>
    <row r="100" spans="1:24" s="411" customFormat="1" ht="33.75" customHeight="1">
      <c r="A100" s="401"/>
      <c r="B100" s="375" t="s">
        <v>20</v>
      </c>
      <c r="C100" s="98" t="e">
        <f t="shared" ref="C100:N100" si="33">C93+C58</f>
        <v>#REF!</v>
      </c>
      <c r="D100" s="385">
        <f t="shared" si="33"/>
        <v>544722.11</v>
      </c>
      <c r="E100" s="385" t="e">
        <f t="shared" si="33"/>
        <v>#REF!</v>
      </c>
      <c r="F100" s="385" t="e">
        <f t="shared" si="33"/>
        <v>#REF!</v>
      </c>
      <c r="G100" s="386">
        <f t="shared" si="33"/>
        <v>649404.54676000006</v>
      </c>
      <c r="H100" s="386" t="e">
        <f t="shared" si="33"/>
        <v>#REF!</v>
      </c>
      <c r="I100" s="386" t="e">
        <f t="shared" si="33"/>
        <v>#REF!</v>
      </c>
      <c r="J100" s="386">
        <f t="shared" si="33"/>
        <v>393110.87821000005</v>
      </c>
      <c r="K100" s="386">
        <f t="shared" si="33"/>
        <v>424924.36137</v>
      </c>
      <c r="L100" s="386">
        <f t="shared" si="33"/>
        <v>31590.601159999944</v>
      </c>
      <c r="M100" s="386">
        <f t="shared" si="33"/>
        <v>328509.19</v>
      </c>
      <c r="N100" s="386">
        <f t="shared" si="33"/>
        <v>364020.3000000001</v>
      </c>
      <c r="O100" s="386"/>
      <c r="P100" s="386">
        <f>P93+P58</f>
        <v>342723.07</v>
      </c>
      <c r="Q100" s="386">
        <f>Q93+Q58</f>
        <v>363889.20000000007</v>
      </c>
      <c r="R100" s="386"/>
      <c r="S100" s="386">
        <f>S93+S58</f>
        <v>363889.3000000001</v>
      </c>
      <c r="T100" s="386">
        <f t="shared" si="22"/>
        <v>2710849.8181300005</v>
      </c>
      <c r="U100" s="401"/>
      <c r="V100" s="402"/>
      <c r="W100" s="402"/>
      <c r="X100" s="402"/>
    </row>
    <row r="101" spans="1:24" s="411" customFormat="1" ht="34.5" customHeight="1">
      <c r="A101" s="401"/>
      <c r="B101" s="375" t="s">
        <v>21</v>
      </c>
      <c r="C101" s="98" t="e">
        <f t="shared" ref="C101:N101" si="34">C59+C94</f>
        <v>#REF!</v>
      </c>
      <c r="D101" s="385">
        <f t="shared" si="34"/>
        <v>51703.200000000004</v>
      </c>
      <c r="E101" s="385" t="e">
        <f t="shared" si="34"/>
        <v>#REF!</v>
      </c>
      <c r="F101" s="385" t="e">
        <f t="shared" si="34"/>
        <v>#REF!</v>
      </c>
      <c r="G101" s="386">
        <f t="shared" si="34"/>
        <v>13706</v>
      </c>
      <c r="H101" s="386" t="e">
        <f t="shared" si="34"/>
        <v>#REF!</v>
      </c>
      <c r="I101" s="386" t="e">
        <f t="shared" si="34"/>
        <v>#REF!</v>
      </c>
      <c r="J101" s="386">
        <f t="shared" si="34"/>
        <v>14073.14328</v>
      </c>
      <c r="K101" s="386">
        <f t="shared" si="34"/>
        <v>14050.885490000001</v>
      </c>
      <c r="L101" s="386">
        <f t="shared" si="34"/>
        <v>-22.25779</v>
      </c>
      <c r="M101" s="386">
        <f t="shared" si="34"/>
        <v>37634.779499999997</v>
      </c>
      <c r="N101" s="386">
        <f t="shared" si="34"/>
        <v>6898.5436600000003</v>
      </c>
      <c r="O101" s="386"/>
      <c r="P101" s="386">
        <f>P59+P94</f>
        <v>110990.63749999998</v>
      </c>
      <c r="Q101" s="386">
        <f>Q59+Q94</f>
        <v>10155.104499999999</v>
      </c>
      <c r="R101" s="386"/>
      <c r="S101" s="386">
        <f>S59+S94</f>
        <v>10252.591749999998</v>
      </c>
      <c r="T101" s="386">
        <f t="shared" si="22"/>
        <v>106766.32539999999</v>
      </c>
      <c r="U101" s="401"/>
      <c r="V101" s="402"/>
      <c r="W101" s="402"/>
      <c r="X101" s="415"/>
    </row>
    <row r="102" spans="1:24" s="411" customFormat="1" ht="32.25" customHeight="1">
      <c r="A102" s="401"/>
      <c r="B102" s="375" t="s">
        <v>25</v>
      </c>
      <c r="C102" s="98" t="e">
        <f>C60</f>
        <v>#REF!</v>
      </c>
      <c r="D102" s="385">
        <f>D60</f>
        <v>6692.4</v>
      </c>
      <c r="E102" s="385" t="e">
        <f>E60</f>
        <v>#REF!</v>
      </c>
      <c r="F102" s="385" t="e">
        <f>F60</f>
        <v>#REF!</v>
      </c>
      <c r="G102" s="386">
        <f t="shared" ref="G102:I102" si="35">G60</f>
        <v>2257.1999999999998</v>
      </c>
      <c r="H102" s="386" t="e">
        <f t="shared" si="35"/>
        <v>#REF!</v>
      </c>
      <c r="I102" s="386" t="e">
        <f t="shared" si="35"/>
        <v>#REF!</v>
      </c>
      <c r="J102" s="386">
        <f>J60</f>
        <v>2699.7777799999999</v>
      </c>
      <c r="K102" s="386">
        <f>K60</f>
        <v>2699.7777799999999</v>
      </c>
      <c r="L102" s="386">
        <f t="shared" ref="L102:N102" si="36">L60</f>
        <v>0</v>
      </c>
      <c r="M102" s="386">
        <f t="shared" si="36"/>
        <v>0</v>
      </c>
      <c r="N102" s="386">
        <f t="shared" si="36"/>
        <v>0</v>
      </c>
      <c r="O102" s="386"/>
      <c r="P102" s="386">
        <f>P60</f>
        <v>0</v>
      </c>
      <c r="Q102" s="386">
        <f>Q60</f>
        <v>0</v>
      </c>
      <c r="R102" s="386"/>
      <c r="S102" s="386">
        <f t="shared" ref="S102" si="37">S60</f>
        <v>0</v>
      </c>
      <c r="T102" s="386">
        <f t="shared" si="22"/>
        <v>11649.377779999999</v>
      </c>
      <c r="U102" s="401"/>
      <c r="V102" s="402"/>
      <c r="W102" s="402"/>
      <c r="X102" s="416"/>
    </row>
    <row r="103" spans="1:24" s="422" customFormat="1" ht="33.75" hidden="1">
      <c r="A103" s="417"/>
      <c r="B103" s="418"/>
      <c r="C103" s="419"/>
      <c r="D103" s="420"/>
      <c r="E103" s="420"/>
      <c r="F103" s="420"/>
      <c r="G103" s="421"/>
      <c r="H103" s="420"/>
      <c r="I103" s="420"/>
      <c r="K103" s="421">
        <v>441675.02464000002</v>
      </c>
      <c r="L103" s="420"/>
      <c r="M103" s="423"/>
      <c r="N103" s="423">
        <v>370918.84366000001</v>
      </c>
      <c r="O103" s="423"/>
      <c r="P103" s="423"/>
      <c r="Q103" s="423">
        <v>374044.30450000003</v>
      </c>
      <c r="R103" s="423"/>
      <c r="S103" s="423">
        <v>374141.89175000001</v>
      </c>
      <c r="T103" s="424"/>
      <c r="U103" s="425"/>
    </row>
    <row r="104" spans="1:24" s="422" customFormat="1" hidden="1">
      <c r="A104" s="417"/>
      <c r="B104" s="418"/>
      <c r="C104" s="426"/>
      <c r="D104" s="420"/>
      <c r="E104" s="420"/>
      <c r="F104" s="420"/>
      <c r="G104" s="421"/>
      <c r="H104" s="420"/>
      <c r="I104" s="420"/>
      <c r="K104" s="421">
        <f>K103-K99</f>
        <v>0</v>
      </c>
      <c r="L104" s="420"/>
      <c r="M104" s="423"/>
      <c r="N104" s="423">
        <f>N103-N99</f>
        <v>0</v>
      </c>
      <c r="O104" s="423"/>
      <c r="P104" s="423"/>
      <c r="Q104" s="423">
        <f>Q103-Q99</f>
        <v>0</v>
      </c>
      <c r="R104" s="423"/>
      <c r="S104" s="423">
        <f>S103-S99</f>
        <v>0</v>
      </c>
      <c r="T104" s="424"/>
      <c r="U104" s="425"/>
    </row>
    <row r="105" spans="1:24" s="429" customFormat="1" ht="28.5">
      <c r="A105" s="427"/>
      <c r="B105" s="428"/>
      <c r="D105" s="430"/>
      <c r="E105" s="430"/>
      <c r="F105" s="430"/>
      <c r="G105" s="430"/>
      <c r="H105" s="430"/>
      <c r="I105" s="430"/>
      <c r="K105" s="430"/>
      <c r="L105" s="430"/>
      <c r="M105" s="431"/>
      <c r="N105" s="431"/>
      <c r="O105" s="431"/>
      <c r="P105" s="431"/>
      <c r="Q105" s="431"/>
      <c r="R105" s="431"/>
      <c r="S105" s="431"/>
      <c r="T105" s="430"/>
      <c r="U105" s="432"/>
    </row>
    <row r="106" spans="1:24" s="435" customFormat="1" ht="33.75">
      <c r="A106" s="433"/>
      <c r="B106" s="434"/>
      <c r="D106" s="436"/>
      <c r="E106" s="436"/>
      <c r="F106" s="436"/>
      <c r="G106" s="436"/>
      <c r="H106" s="436"/>
      <c r="I106" s="436"/>
      <c r="J106" s="436"/>
      <c r="K106" s="437"/>
      <c r="L106" s="436"/>
      <c r="M106" s="437"/>
      <c r="N106" s="437"/>
      <c r="O106" s="437"/>
      <c r="P106" s="437"/>
      <c r="Q106" s="437"/>
      <c r="R106" s="437"/>
      <c r="S106" s="437"/>
      <c r="T106" s="436"/>
      <c r="U106" s="438"/>
    </row>
    <row r="107" spans="1:24" s="435" customFormat="1" ht="33.75">
      <c r="A107" s="433"/>
      <c r="B107" s="434"/>
      <c r="D107" s="436"/>
      <c r="E107" s="436"/>
      <c r="F107" s="436"/>
      <c r="G107" s="436"/>
      <c r="H107" s="436"/>
      <c r="I107" s="436"/>
      <c r="J107" s="436"/>
      <c r="K107" s="437"/>
      <c r="L107" s="436"/>
      <c r="M107" s="437"/>
      <c r="N107" s="437"/>
      <c r="O107" s="437"/>
      <c r="P107" s="437"/>
      <c r="Q107" s="437"/>
      <c r="R107" s="437"/>
      <c r="S107" s="436"/>
      <c r="T107" s="438"/>
    </row>
    <row r="110" spans="1:24" s="435" customFormat="1" ht="93" hidden="1" customHeight="1">
      <c r="A110" s="433"/>
      <c r="B110" s="434"/>
      <c r="D110" s="436"/>
      <c r="E110" s="436"/>
      <c r="F110" s="436"/>
      <c r="G110" s="436"/>
      <c r="H110" s="436"/>
      <c r="I110" s="436"/>
      <c r="J110" s="436"/>
      <c r="K110" s="437"/>
      <c r="L110" s="436"/>
      <c r="M110" s="437"/>
      <c r="N110" s="437"/>
      <c r="O110" s="437"/>
      <c r="P110" s="437"/>
      <c r="Q110" s="437"/>
      <c r="R110" s="437"/>
      <c r="S110" s="437"/>
      <c r="T110" s="436"/>
      <c r="U110" s="438"/>
    </row>
    <row r="111" spans="1:24" s="435" customFormat="1" ht="3.75" hidden="1" customHeight="1">
      <c r="A111" s="433"/>
      <c r="B111" s="434"/>
      <c r="D111" s="436"/>
      <c r="E111" s="436"/>
      <c r="F111" s="436"/>
      <c r="G111" s="436"/>
      <c r="H111" s="436"/>
      <c r="I111" s="436"/>
      <c r="J111" s="436"/>
      <c r="K111" s="437"/>
      <c r="L111" s="436"/>
      <c r="M111" s="437"/>
      <c r="N111" s="437"/>
      <c r="O111" s="437"/>
      <c r="P111" s="437"/>
      <c r="Q111" s="437"/>
      <c r="R111" s="437"/>
      <c r="S111" s="437"/>
      <c r="T111" s="436"/>
      <c r="U111" s="438"/>
    </row>
    <row r="112" spans="1:24" s="435" customFormat="1" ht="33.75" hidden="1">
      <c r="A112" s="433"/>
      <c r="B112" s="434"/>
      <c r="D112" s="436"/>
      <c r="E112" s="436"/>
      <c r="F112" s="436"/>
      <c r="G112" s="436"/>
      <c r="H112" s="436"/>
      <c r="I112" s="436"/>
      <c r="J112" s="436"/>
      <c r="K112" s="437"/>
      <c r="L112" s="436"/>
      <c r="M112" s="437">
        <v>371143.96500000003</v>
      </c>
      <c r="N112" s="437"/>
      <c r="O112" s="437"/>
      <c r="P112" s="437">
        <v>444565.20750000002</v>
      </c>
      <c r="Q112" s="437"/>
      <c r="R112" s="437"/>
      <c r="S112" s="437"/>
      <c r="T112" s="436"/>
      <c r="U112" s="438"/>
    </row>
    <row r="113" spans="1:21" s="435" customFormat="1" ht="33.75" hidden="1">
      <c r="A113" s="433"/>
      <c r="B113" s="434"/>
      <c r="D113" s="436"/>
      <c r="E113" s="436"/>
      <c r="F113" s="436"/>
      <c r="G113" s="436"/>
      <c r="H113" s="436"/>
      <c r="I113" s="436"/>
      <c r="J113" s="436"/>
      <c r="K113" s="437"/>
      <c r="L113" s="436"/>
      <c r="M113" s="437">
        <f>M112-M99</f>
        <v>4999.9955000000191</v>
      </c>
      <c r="N113" s="437"/>
      <c r="O113" s="437"/>
      <c r="P113" s="437">
        <f>P112-P99</f>
        <v>-9148.5</v>
      </c>
      <c r="Q113" s="437"/>
      <c r="R113" s="437"/>
      <c r="S113" s="437"/>
      <c r="T113" s="436"/>
      <c r="U113" s="438"/>
    </row>
  </sheetData>
  <mergeCells count="70">
    <mergeCell ref="A89:A90"/>
    <mergeCell ref="B89:B90"/>
    <mergeCell ref="B79:B80"/>
    <mergeCell ref="A81:A82"/>
    <mergeCell ref="B81:B82"/>
    <mergeCell ref="A83:A84"/>
    <mergeCell ref="B83:B84"/>
    <mergeCell ref="A85:A86"/>
    <mergeCell ref="B85:B86"/>
    <mergeCell ref="A65:W65"/>
    <mergeCell ref="X65:X88"/>
    <mergeCell ref="A66:W66"/>
    <mergeCell ref="A73:A74"/>
    <mergeCell ref="B73:B74"/>
    <mergeCell ref="A75:A76"/>
    <mergeCell ref="B75:B76"/>
    <mergeCell ref="A77:A78"/>
    <mergeCell ref="B77:B78"/>
    <mergeCell ref="A79:A80"/>
    <mergeCell ref="A87:A88"/>
    <mergeCell ref="B87:B88"/>
    <mergeCell ref="A64:X64"/>
    <mergeCell ref="A40:A42"/>
    <mergeCell ref="B40:B42"/>
    <mergeCell ref="A44:A46"/>
    <mergeCell ref="B44:B46"/>
    <mergeCell ref="A48:A49"/>
    <mergeCell ref="B48:B49"/>
    <mergeCell ref="A52:A53"/>
    <mergeCell ref="B52:B53"/>
    <mergeCell ref="A56:A57"/>
    <mergeCell ref="B56:B57"/>
    <mergeCell ref="W56:W57"/>
    <mergeCell ref="B23:B24"/>
    <mergeCell ref="V23:V24"/>
    <mergeCell ref="B25:B26"/>
    <mergeCell ref="A33:A35"/>
    <mergeCell ref="B33:B35"/>
    <mergeCell ref="A36:A39"/>
    <mergeCell ref="B36:B38"/>
    <mergeCell ref="V11:V12"/>
    <mergeCell ref="W11:W12"/>
    <mergeCell ref="X11:X12"/>
    <mergeCell ref="A13:X13"/>
    <mergeCell ref="A14:W14"/>
    <mergeCell ref="X14:X57"/>
    <mergeCell ref="A15:W15"/>
    <mergeCell ref="A16:A18"/>
    <mergeCell ref="B16:B18"/>
    <mergeCell ref="A23:A24"/>
    <mergeCell ref="N11:N12"/>
    <mergeCell ref="O11:O12"/>
    <mergeCell ref="P11:P12"/>
    <mergeCell ref="S11:S12"/>
    <mergeCell ref="T11:T12"/>
    <mergeCell ref="U11:U12"/>
    <mergeCell ref="U7:X7"/>
    <mergeCell ref="A9:X9"/>
    <mergeCell ref="A11:A12"/>
    <mergeCell ref="D11:D12"/>
    <mergeCell ref="G11:G12"/>
    <mergeCell ref="J11:J12"/>
    <mergeCell ref="K11:K12"/>
    <mergeCell ref="L11:L12"/>
    <mergeCell ref="M11:M12"/>
    <mergeCell ref="U6:X6"/>
    <mergeCell ref="U1:X1"/>
    <mergeCell ref="U2:X2"/>
    <mergeCell ref="U3:X3"/>
    <mergeCell ref="U4:X4"/>
  </mergeCells>
  <pageMargins left="0.31496062992125984" right="0.31496062992125984" top="0.98425196850393704" bottom="0.19685039370078741" header="0.11811023622047245" footer="0.15748031496062992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124"/>
  <sheetViews>
    <sheetView view="pageBreakPreview" zoomScale="60" zoomScaleNormal="60" workbookViewId="0">
      <selection activeCell="Q84" sqref="Q84"/>
    </sheetView>
  </sheetViews>
  <sheetFormatPr defaultColWidth="9.140625" defaultRowHeight="23.25"/>
  <cols>
    <col min="1" max="1" width="8.85546875" style="249" customWidth="1"/>
    <col min="2" max="2" width="67.28515625" style="250" customWidth="1"/>
    <col min="3" max="3" width="17.85546875" style="8" hidden="1" customWidth="1"/>
    <col min="4" max="4" width="7.5703125" style="208" customWidth="1"/>
    <col min="5" max="5" width="28" style="208" hidden="1" customWidth="1"/>
    <col min="6" max="6" width="28.28515625" style="208" hidden="1" customWidth="1"/>
    <col min="7" max="7" width="7.28515625" style="208" customWidth="1"/>
    <col min="8" max="9" width="28.28515625" style="208" hidden="1" customWidth="1"/>
    <col min="10" max="10" width="26.140625" style="295" bestFit="1" customWidth="1"/>
    <col min="11" max="12" width="24.85546875" style="322" customWidth="1"/>
    <col min="13" max="13" width="22.140625" style="208" hidden="1" customWidth="1"/>
    <col min="14" max="14" width="30.140625" style="351" customWidth="1"/>
    <col min="15" max="15" width="34.140625" style="351" customWidth="1"/>
    <col min="16" max="16" width="26" style="351" customWidth="1"/>
    <col min="17" max="17" width="29.5703125" style="354" customWidth="1"/>
    <col min="18" max="18" width="29.140625" style="354" customWidth="1"/>
    <col min="19" max="19" width="26.5703125" style="354" customWidth="1"/>
    <col min="20" max="20" width="24.5703125" style="322" customWidth="1"/>
    <col min="21" max="21" width="31" style="251" customWidth="1"/>
    <col min="22" max="22" width="36.140625" style="270" hidden="1" customWidth="1"/>
    <col min="23" max="23" width="45.85546875" style="8" hidden="1" customWidth="1"/>
    <col min="24" max="24" width="35" style="8" hidden="1" customWidth="1"/>
    <col min="25" max="25" width="42.140625" style="8" hidden="1" customWidth="1"/>
    <col min="26" max="26" width="0.7109375" style="8" hidden="1" customWidth="1"/>
    <col min="27" max="31" width="9.140625" style="8" hidden="1" customWidth="1"/>
    <col min="32" max="32" width="6.85546875" style="8" customWidth="1"/>
    <col min="33" max="16384" width="9.140625" style="8"/>
  </cols>
  <sheetData>
    <row r="1" spans="1:25" ht="13.9" customHeight="1">
      <c r="V1" s="525"/>
      <c r="W1" s="525"/>
      <c r="X1" s="525"/>
      <c r="Y1" s="525"/>
    </row>
    <row r="2" spans="1:25" ht="207" customHeight="1">
      <c r="V2" s="526" t="s">
        <v>223</v>
      </c>
      <c r="W2" s="525"/>
      <c r="X2" s="525"/>
      <c r="Y2" s="525"/>
    </row>
    <row r="3" spans="1:25" ht="8.4499999999999993" hidden="1" customHeight="1">
      <c r="V3" s="525"/>
      <c r="W3" s="525"/>
      <c r="X3" s="525"/>
      <c r="Y3" s="525"/>
    </row>
    <row r="4" spans="1:25" ht="27" hidden="1" customHeight="1">
      <c r="V4" s="525"/>
      <c r="W4" s="525"/>
      <c r="X4" s="525"/>
      <c r="Y4" s="525"/>
    </row>
    <row r="5" spans="1:25" ht="8.4499999999999993" hidden="1" customHeight="1">
      <c r="V5" s="525"/>
      <c r="W5" s="525"/>
      <c r="X5" s="525"/>
      <c r="Y5" s="525"/>
    </row>
    <row r="6" spans="1:25" ht="21.6" hidden="1" customHeight="1">
      <c r="U6" s="252"/>
      <c r="V6" s="280"/>
      <c r="W6" s="253"/>
      <c r="X6" s="253"/>
      <c r="Y6" s="253"/>
    </row>
    <row r="7" spans="1:25" ht="31.5" customHeight="1">
      <c r="V7" s="525" t="s">
        <v>162</v>
      </c>
      <c r="W7" s="525"/>
      <c r="X7" s="525"/>
      <c r="Y7" s="525"/>
    </row>
    <row r="8" spans="1:25" ht="27.75" customHeight="1">
      <c r="V8" s="525" t="s">
        <v>161</v>
      </c>
      <c r="W8" s="525"/>
      <c r="X8" s="525"/>
      <c r="Y8" s="525"/>
    </row>
    <row r="9" spans="1:25" ht="27.75" customHeight="1">
      <c r="U9" s="252"/>
      <c r="V9" s="280"/>
      <c r="W9" s="280"/>
      <c r="X9" s="280"/>
      <c r="Y9" s="280"/>
    </row>
    <row r="10" spans="1:25" ht="57" customHeight="1">
      <c r="A10" s="527" t="s">
        <v>192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27"/>
      <c r="S10" s="527"/>
      <c r="T10" s="527"/>
      <c r="U10" s="527"/>
      <c r="V10" s="527"/>
      <c r="W10" s="527"/>
      <c r="X10" s="527"/>
      <c r="Y10" s="527"/>
    </row>
    <row r="11" spans="1:25" ht="28.5" customHeight="1">
      <c r="B11" s="254"/>
      <c r="C11" s="254"/>
      <c r="D11" s="254"/>
      <c r="E11" s="254"/>
      <c r="F11" s="254"/>
      <c r="G11" s="254"/>
      <c r="H11" s="254"/>
      <c r="I11" s="254"/>
      <c r="J11" s="296"/>
      <c r="K11" s="323"/>
      <c r="L11" s="323"/>
      <c r="M11" s="254"/>
      <c r="N11" s="352"/>
      <c r="O11" s="352"/>
      <c r="P11" s="352"/>
      <c r="Q11" s="355"/>
      <c r="R11" s="355"/>
      <c r="S11" s="355"/>
      <c r="T11" s="323"/>
      <c r="U11" s="254"/>
      <c r="V11" s="254"/>
      <c r="W11" s="254"/>
      <c r="X11" s="254"/>
      <c r="Y11" s="255" t="s">
        <v>101</v>
      </c>
    </row>
    <row r="12" spans="1:25" ht="24.75">
      <c r="A12" s="490" t="s">
        <v>1</v>
      </c>
      <c r="B12" s="490" t="s">
        <v>2</v>
      </c>
      <c r="C12" s="256"/>
      <c r="D12" s="504" t="s">
        <v>164</v>
      </c>
      <c r="E12" s="257"/>
      <c r="F12" s="257"/>
      <c r="G12" s="504" t="s">
        <v>142</v>
      </c>
      <c r="H12" s="257"/>
      <c r="I12" s="257"/>
      <c r="J12" s="528" t="s">
        <v>143</v>
      </c>
      <c r="K12" s="521" t="s">
        <v>229</v>
      </c>
      <c r="L12" s="333"/>
      <c r="M12" s="523" t="s">
        <v>72</v>
      </c>
      <c r="N12" s="516" t="s">
        <v>144</v>
      </c>
      <c r="O12" s="519" t="s">
        <v>230</v>
      </c>
      <c r="P12" s="519" t="s">
        <v>198</v>
      </c>
      <c r="Q12" s="517" t="s">
        <v>188</v>
      </c>
      <c r="R12" s="356"/>
      <c r="S12" s="356"/>
      <c r="T12" s="518" t="s">
        <v>224</v>
      </c>
      <c r="U12" s="504" t="s">
        <v>3</v>
      </c>
      <c r="V12" s="490" t="s">
        <v>4</v>
      </c>
      <c r="W12" s="490" t="s">
        <v>4</v>
      </c>
      <c r="X12" s="490" t="s">
        <v>160</v>
      </c>
      <c r="Y12" s="490" t="s">
        <v>5</v>
      </c>
    </row>
    <row r="13" spans="1:25" ht="46.5" customHeight="1">
      <c r="A13" s="490"/>
      <c r="B13" s="490"/>
      <c r="C13" s="31" t="s">
        <v>80</v>
      </c>
      <c r="D13" s="504"/>
      <c r="E13" s="229" t="s">
        <v>72</v>
      </c>
      <c r="F13" s="229" t="s">
        <v>130</v>
      </c>
      <c r="G13" s="504"/>
      <c r="H13" s="229" t="s">
        <v>72</v>
      </c>
      <c r="I13" s="229" t="s">
        <v>131</v>
      </c>
      <c r="J13" s="528"/>
      <c r="K13" s="522"/>
      <c r="L13" s="334"/>
      <c r="M13" s="524"/>
      <c r="N13" s="516"/>
      <c r="O13" s="520"/>
      <c r="P13" s="520"/>
      <c r="Q13" s="517"/>
      <c r="R13" s="356"/>
      <c r="S13" s="356"/>
      <c r="T13" s="518"/>
      <c r="U13" s="504"/>
      <c r="V13" s="490"/>
      <c r="W13" s="490"/>
      <c r="X13" s="490"/>
      <c r="Y13" s="490"/>
    </row>
    <row r="14" spans="1:25" s="259" customFormat="1" ht="42.75" customHeight="1">
      <c r="A14" s="496" t="s">
        <v>6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6"/>
      <c r="S14" s="496"/>
      <c r="T14" s="496"/>
      <c r="U14" s="496"/>
      <c r="V14" s="496"/>
      <c r="W14" s="496"/>
      <c r="X14" s="496"/>
      <c r="Y14" s="496"/>
    </row>
    <row r="15" spans="1:25" s="262" customFormat="1" ht="54.75" customHeight="1">
      <c r="A15" s="493" t="s">
        <v>125</v>
      </c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3"/>
      <c r="S15" s="493"/>
      <c r="T15" s="493"/>
      <c r="U15" s="493"/>
      <c r="V15" s="493"/>
      <c r="W15" s="493"/>
      <c r="X15" s="493"/>
      <c r="Y15" s="494" t="s">
        <v>165</v>
      </c>
    </row>
    <row r="16" spans="1:25" s="262" customFormat="1" ht="107.25" customHeight="1">
      <c r="A16" s="505" t="s">
        <v>222</v>
      </c>
      <c r="B16" s="50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505"/>
      <c r="S16" s="505"/>
      <c r="T16" s="505"/>
      <c r="U16" s="505"/>
      <c r="V16" s="505"/>
      <c r="W16" s="505"/>
      <c r="X16" s="505"/>
      <c r="Y16" s="494"/>
    </row>
    <row r="17" spans="1:25" ht="107.25" customHeight="1">
      <c r="A17" s="501">
        <v>1</v>
      </c>
      <c r="B17" s="488" t="s">
        <v>31</v>
      </c>
      <c r="C17" s="25">
        <f>C24+C29+C30+C31+C32+C33</f>
        <v>23003.7</v>
      </c>
      <c r="D17" s="206">
        <f>D24+D29+D30+D31+D32+D33</f>
        <v>28774.5</v>
      </c>
      <c r="E17" s="206">
        <f>E24+E29+E30+E31+E32+E33</f>
        <v>5770.8</v>
      </c>
      <c r="F17" s="206">
        <f>F24+F29+F30+F31+F32+F33</f>
        <v>19980.199999999997</v>
      </c>
      <c r="G17" s="219">
        <v>51262.540999999997</v>
      </c>
      <c r="H17" s="206"/>
      <c r="I17" s="206">
        <f>I24+I29+I30+I31+I32+I33</f>
        <v>19980.199999999997</v>
      </c>
      <c r="J17" s="335">
        <f>J24+J29+J30+J31+J32+J33+J35</f>
        <v>36044.949999999997</v>
      </c>
      <c r="K17" s="336">
        <f>K24+K29+K30+K31+K32+K33+K35+K53</f>
        <v>41411.382400000002</v>
      </c>
      <c r="L17" s="336">
        <f>K17-J17</f>
        <v>5366.4324000000051</v>
      </c>
      <c r="M17" s="337">
        <f>K17-J17</f>
        <v>5366.4324000000051</v>
      </c>
      <c r="N17" s="335">
        <f>N24+N29+N30+N31+N32+N33</f>
        <v>30024.5</v>
      </c>
      <c r="O17" s="335">
        <f>O24+O29+O30+O31+O32+O33+O35</f>
        <v>38970.899999999994</v>
      </c>
      <c r="P17" s="335">
        <f>O17-N17</f>
        <v>8946.3999999999942</v>
      </c>
      <c r="Q17" s="357">
        <f>Q24+Q29+Q30+Q31+Q32+Q33</f>
        <v>30024.6</v>
      </c>
      <c r="R17" s="357">
        <f>R24+R29+R30+R31+R32+R33+R27+R35</f>
        <v>38974.199999999997</v>
      </c>
      <c r="S17" s="357">
        <f>R17-Q17</f>
        <v>8949.5999999999985</v>
      </c>
      <c r="T17" s="336">
        <f t="shared" ref="T17" si="0">T24+T29+T30+T31+T32+T33+T27+T35</f>
        <v>38974.299999999996</v>
      </c>
      <c r="U17" s="219">
        <f>G17+K17+O17+R17+T17+D17</f>
        <v>238367.82339999999</v>
      </c>
      <c r="V17" s="31" t="s">
        <v>7</v>
      </c>
      <c r="W17" s="31"/>
      <c r="X17" s="31" t="s">
        <v>159</v>
      </c>
      <c r="Y17" s="494"/>
    </row>
    <row r="18" spans="1:25" ht="46.5" customHeight="1">
      <c r="A18" s="506"/>
      <c r="B18" s="507"/>
      <c r="C18" s="25">
        <f>C25</f>
        <v>2584.5</v>
      </c>
      <c r="D18" s="206">
        <f>D25</f>
        <v>2834.5</v>
      </c>
      <c r="E18" s="206">
        <f>E25</f>
        <v>250</v>
      </c>
      <c r="F18" s="206">
        <f>F25</f>
        <v>2584.5</v>
      </c>
      <c r="G18" s="219">
        <v>2734.7</v>
      </c>
      <c r="H18" s="206"/>
      <c r="I18" s="206">
        <f>I25</f>
        <v>2584.5</v>
      </c>
      <c r="J18" s="335">
        <f>J25+J36+J60</f>
        <v>3426.4532799999997</v>
      </c>
      <c r="K18" s="336">
        <f>K25+K36+K60</f>
        <v>3426.4532799999997</v>
      </c>
      <c r="L18" s="336">
        <f t="shared" ref="L18:L19" si="1">K18-J18</f>
        <v>0</v>
      </c>
      <c r="M18" s="337">
        <f t="shared" ref="M18:M19" si="2">K18-J18</f>
        <v>0</v>
      </c>
      <c r="N18" s="335">
        <f>N25+N44</f>
        <v>2664.9775</v>
      </c>
      <c r="O18" s="335">
        <f>O25+O44+O36</f>
        <v>6442.82366</v>
      </c>
      <c r="P18" s="335">
        <f t="shared" ref="P18:P66" si="3">O18-N18</f>
        <v>3777.8461600000001</v>
      </c>
      <c r="Q18" s="357">
        <f t="shared" ref="Q18" si="4">Q25+Q44+Q36</f>
        <v>2664.9775</v>
      </c>
      <c r="R18" s="357">
        <f>R25+R44+R36+R28</f>
        <v>9699.3845000000001</v>
      </c>
      <c r="S18" s="357">
        <f t="shared" ref="S18:S66" si="5">R18-Q18</f>
        <v>7034.4070000000002</v>
      </c>
      <c r="T18" s="336">
        <f t="shared" ref="T18" si="6">T25+T44+T36+T28</f>
        <v>9796.8717499999984</v>
      </c>
      <c r="U18" s="219">
        <f t="shared" ref="U18:U64" si="7">G18+K18+O18+R18+T18+D18</f>
        <v>34934.733189999999</v>
      </c>
      <c r="V18" s="31" t="s">
        <v>8</v>
      </c>
      <c r="W18" s="31"/>
      <c r="X18" s="264">
        <f>K17-41411.3824</f>
        <v>0</v>
      </c>
      <c r="Y18" s="494"/>
    </row>
    <row r="19" spans="1:25" ht="46.5" customHeight="1">
      <c r="A19" s="502"/>
      <c r="B19" s="489"/>
      <c r="C19" s="25"/>
      <c r="D19" s="206">
        <v>0</v>
      </c>
      <c r="E19" s="206"/>
      <c r="F19" s="206"/>
      <c r="G19" s="219">
        <v>0</v>
      </c>
      <c r="H19" s="206"/>
      <c r="I19" s="206"/>
      <c r="J19" s="335">
        <f>J37</f>
        <v>2699.7777799999999</v>
      </c>
      <c r="K19" s="336">
        <f>K37</f>
        <v>2699.7777799999999</v>
      </c>
      <c r="L19" s="336">
        <f t="shared" si="1"/>
        <v>0</v>
      </c>
      <c r="M19" s="337">
        <f t="shared" si="2"/>
        <v>0</v>
      </c>
      <c r="N19" s="335">
        <v>0</v>
      </c>
      <c r="O19" s="335">
        <v>0</v>
      </c>
      <c r="P19" s="335">
        <f t="shared" si="3"/>
        <v>0</v>
      </c>
      <c r="Q19" s="357">
        <v>0</v>
      </c>
      <c r="R19" s="357">
        <v>0</v>
      </c>
      <c r="S19" s="357">
        <f t="shared" si="5"/>
        <v>0</v>
      </c>
      <c r="T19" s="336">
        <v>0</v>
      </c>
      <c r="U19" s="219">
        <f t="shared" si="7"/>
        <v>2699.7777799999999</v>
      </c>
      <c r="V19" s="31" t="s">
        <v>9</v>
      </c>
      <c r="W19" s="31"/>
      <c r="X19" s="31"/>
      <c r="Y19" s="494"/>
    </row>
    <row r="20" spans="1:25" ht="108.75" customHeight="1">
      <c r="A20" s="10"/>
      <c r="B20" s="263" t="s">
        <v>37</v>
      </c>
      <c r="C20" s="25">
        <f>C18+C17</f>
        <v>25588.2</v>
      </c>
      <c r="D20" s="206">
        <f>D18+D17</f>
        <v>31609</v>
      </c>
      <c r="E20" s="206">
        <f t="shared" ref="E20:I20" si="8">E18+E17</f>
        <v>6020.8</v>
      </c>
      <c r="F20" s="206">
        <f t="shared" si="8"/>
        <v>22564.699999999997</v>
      </c>
      <c r="G20" s="219">
        <f>G17+G18+G19</f>
        <v>53997.240999999995</v>
      </c>
      <c r="H20" s="206">
        <f t="shared" si="8"/>
        <v>0</v>
      </c>
      <c r="I20" s="206">
        <f t="shared" si="8"/>
        <v>22564.699999999997</v>
      </c>
      <c r="J20" s="335">
        <f>J18+J17+J19</f>
        <v>42171.181059999995</v>
      </c>
      <c r="K20" s="336">
        <f>K18+K17+K19</f>
        <v>47537.61346</v>
      </c>
      <c r="L20" s="336">
        <f>K20-J20</f>
        <v>5366.4324000000051</v>
      </c>
      <c r="M20" s="337">
        <f>K20-J20</f>
        <v>5366.4324000000051</v>
      </c>
      <c r="N20" s="335">
        <f>N18+N17+N19</f>
        <v>32689.477500000001</v>
      </c>
      <c r="O20" s="335">
        <f t="shared" ref="O20" si="9">O18+O17+O19</f>
        <v>45413.723659999996</v>
      </c>
      <c r="P20" s="335">
        <f t="shared" si="3"/>
        <v>12724.246159999995</v>
      </c>
      <c r="Q20" s="357">
        <f t="shared" ref="Q20:T20" si="10">Q18+Q17+Q19</f>
        <v>32689.577499999999</v>
      </c>
      <c r="R20" s="357">
        <f>R18+R17+R19</f>
        <v>48673.584499999997</v>
      </c>
      <c r="S20" s="357">
        <f t="shared" si="5"/>
        <v>15984.006999999998</v>
      </c>
      <c r="T20" s="336">
        <f t="shared" si="10"/>
        <v>48771.171749999994</v>
      </c>
      <c r="U20" s="219">
        <f t="shared" si="7"/>
        <v>276002.33437</v>
      </c>
      <c r="V20" s="31"/>
      <c r="W20" s="31"/>
      <c r="X20" s="31"/>
      <c r="Y20" s="494"/>
    </row>
    <row r="21" spans="1:25" ht="35.25" customHeight="1">
      <c r="A21" s="10"/>
      <c r="B21" s="263" t="s">
        <v>10</v>
      </c>
      <c r="C21" s="25"/>
      <c r="D21" s="236">
        <v>31609</v>
      </c>
      <c r="E21" s="236"/>
      <c r="F21" s="236"/>
      <c r="G21" s="247"/>
      <c r="H21" s="236"/>
      <c r="I21" s="236"/>
      <c r="J21" s="339">
        <v>42171.181060000003</v>
      </c>
      <c r="K21" s="340"/>
      <c r="L21" s="340"/>
      <c r="M21" s="341"/>
      <c r="N21" s="339">
        <v>37689.477500000001</v>
      </c>
      <c r="O21" s="339"/>
      <c r="P21" s="335"/>
      <c r="Q21" s="358">
        <v>37689.577499999999</v>
      </c>
      <c r="R21" s="358"/>
      <c r="S21" s="357">
        <f t="shared" si="5"/>
        <v>-37689.577499999999</v>
      </c>
      <c r="T21" s="340"/>
      <c r="U21" s="219">
        <f t="shared" si="7"/>
        <v>31609</v>
      </c>
      <c r="V21" s="31"/>
      <c r="W21" s="260"/>
      <c r="X21" s="260"/>
      <c r="Y21" s="494"/>
    </row>
    <row r="22" spans="1:25" ht="24" hidden="1" customHeight="1">
      <c r="A22" s="10"/>
      <c r="B22" s="263"/>
      <c r="C22" s="25"/>
      <c r="D22" s="229">
        <f>D21-D20</f>
        <v>0</v>
      </c>
      <c r="E22" s="229"/>
      <c r="F22" s="229"/>
      <c r="G22" s="219"/>
      <c r="H22" s="229"/>
      <c r="I22" s="229"/>
      <c r="J22" s="342">
        <f>J21-J20</f>
        <v>0</v>
      </c>
      <c r="K22" s="343"/>
      <c r="L22" s="343"/>
      <c r="M22" s="344">
        <f>M21-M20</f>
        <v>-5366.4324000000051</v>
      </c>
      <c r="N22" s="342">
        <f t="shared" ref="N22" si="11">N21-N20</f>
        <v>5000</v>
      </c>
      <c r="O22" s="342"/>
      <c r="P22" s="335">
        <f t="shared" si="3"/>
        <v>-5000</v>
      </c>
      <c r="Q22" s="359">
        <f>Q21-Q20</f>
        <v>5000</v>
      </c>
      <c r="R22" s="359"/>
      <c r="S22" s="357">
        <f t="shared" si="5"/>
        <v>-5000</v>
      </c>
      <c r="T22" s="343"/>
      <c r="U22" s="219">
        <f t="shared" si="7"/>
        <v>0</v>
      </c>
      <c r="V22" s="31"/>
      <c r="W22" s="260"/>
      <c r="X22" s="260"/>
      <c r="Y22" s="494"/>
    </row>
    <row r="23" spans="1:25" ht="24" hidden="1" customHeight="1">
      <c r="A23" s="10"/>
      <c r="B23" s="263"/>
      <c r="C23" s="25"/>
      <c r="D23" s="229"/>
      <c r="E23" s="229"/>
      <c r="F23" s="229"/>
      <c r="G23" s="219"/>
      <c r="H23" s="229"/>
      <c r="I23" s="229"/>
      <c r="J23" s="342"/>
      <c r="K23" s="343"/>
      <c r="L23" s="343"/>
      <c r="M23" s="344"/>
      <c r="N23" s="342"/>
      <c r="O23" s="342"/>
      <c r="P23" s="335">
        <f t="shared" si="3"/>
        <v>0</v>
      </c>
      <c r="Q23" s="359"/>
      <c r="R23" s="359"/>
      <c r="S23" s="357">
        <f t="shared" si="5"/>
        <v>0</v>
      </c>
      <c r="T23" s="343"/>
      <c r="U23" s="219">
        <f t="shared" si="7"/>
        <v>0</v>
      </c>
      <c r="V23" s="31"/>
      <c r="W23" s="260"/>
      <c r="X23" s="260"/>
      <c r="Y23" s="494"/>
    </row>
    <row r="24" spans="1:25" ht="66.75" customHeight="1">
      <c r="A24" s="486" t="s">
        <v>11</v>
      </c>
      <c r="B24" s="500" t="s">
        <v>231</v>
      </c>
      <c r="C24" s="25">
        <v>100</v>
      </c>
      <c r="D24" s="206">
        <v>100</v>
      </c>
      <c r="E24" s="206">
        <f t="shared" ref="E24:E50" si="12">D24-C24</f>
        <v>0</v>
      </c>
      <c r="F24" s="206">
        <v>100</v>
      </c>
      <c r="G24" s="219">
        <v>2.7</v>
      </c>
      <c r="H24" s="206">
        <f>G24-F24</f>
        <v>-97.3</v>
      </c>
      <c r="I24" s="206">
        <v>100</v>
      </c>
      <c r="J24" s="335">
        <v>3</v>
      </c>
      <c r="K24" s="336">
        <v>2.6676500000000001</v>
      </c>
      <c r="L24" s="336">
        <f>K24-J24</f>
        <v>-0.33234999999999992</v>
      </c>
      <c r="M24" s="337">
        <f>K24-J24</f>
        <v>-0.33234999999999992</v>
      </c>
      <c r="N24" s="335">
        <f>J24</f>
        <v>3</v>
      </c>
      <c r="O24" s="335">
        <v>2.2999999999999998</v>
      </c>
      <c r="P24" s="335">
        <f t="shared" si="3"/>
        <v>-0.70000000000000018</v>
      </c>
      <c r="Q24" s="357">
        <f>J24</f>
        <v>3</v>
      </c>
      <c r="R24" s="357">
        <v>5</v>
      </c>
      <c r="S24" s="357">
        <f t="shared" si="5"/>
        <v>2</v>
      </c>
      <c r="T24" s="336">
        <v>5</v>
      </c>
      <c r="U24" s="219">
        <f t="shared" si="7"/>
        <v>117.66765000000001</v>
      </c>
      <c r="V24" s="31" t="s">
        <v>12</v>
      </c>
      <c r="W24" s="490" t="s">
        <v>134</v>
      </c>
      <c r="X24" s="31"/>
      <c r="Y24" s="494"/>
    </row>
    <row r="25" spans="1:25" ht="55.5" customHeight="1">
      <c r="A25" s="496"/>
      <c r="B25" s="500"/>
      <c r="C25" s="25">
        <v>2584.5</v>
      </c>
      <c r="D25" s="206">
        <v>2834.5</v>
      </c>
      <c r="E25" s="206">
        <f t="shared" si="12"/>
        <v>250</v>
      </c>
      <c r="F25" s="206">
        <v>2584.5</v>
      </c>
      <c r="G25" s="219">
        <v>2734.7</v>
      </c>
      <c r="H25" s="206">
        <f>G25-F25</f>
        <v>150.19999999999982</v>
      </c>
      <c r="I25" s="206">
        <v>2584.5</v>
      </c>
      <c r="J25" s="335">
        <v>2664.9775</v>
      </c>
      <c r="K25" s="336">
        <v>2664.9775</v>
      </c>
      <c r="L25" s="336">
        <f t="shared" ref="L25" si="13">K25-J25</f>
        <v>0</v>
      </c>
      <c r="M25" s="337">
        <f t="shared" ref="M25:M64" si="14">K25-J25</f>
        <v>0</v>
      </c>
      <c r="N25" s="335">
        <f>J25</f>
        <v>2664.9775</v>
      </c>
      <c r="O25" s="335">
        <v>2248.9019600000001</v>
      </c>
      <c r="P25" s="335">
        <f t="shared" si="3"/>
        <v>-416.07553999999982</v>
      </c>
      <c r="Q25" s="357">
        <f>J25</f>
        <v>2664.9775</v>
      </c>
      <c r="R25" s="357">
        <v>4952.8301899999997</v>
      </c>
      <c r="S25" s="357">
        <f t="shared" si="5"/>
        <v>2287.8526899999997</v>
      </c>
      <c r="T25" s="336">
        <v>4952.8301899999997</v>
      </c>
      <c r="U25" s="219">
        <f t="shared" si="7"/>
        <v>20388.739839999998</v>
      </c>
      <c r="V25" s="31" t="s">
        <v>8</v>
      </c>
      <c r="W25" s="492"/>
      <c r="X25" s="266"/>
      <c r="Y25" s="494"/>
    </row>
    <row r="26" spans="1:25" ht="55.5" customHeight="1">
      <c r="A26" s="10"/>
      <c r="B26" s="330"/>
      <c r="C26" s="25"/>
      <c r="D26" s="206"/>
      <c r="E26" s="206"/>
      <c r="F26" s="206"/>
      <c r="G26" s="219"/>
      <c r="H26" s="206"/>
      <c r="I26" s="206"/>
      <c r="J26" s="335">
        <f>J24+J25</f>
        <v>2667.9775</v>
      </c>
      <c r="K26" s="335">
        <f>K24+K25</f>
        <v>2667.6451499999998</v>
      </c>
      <c r="L26" s="336">
        <f>K26-J26</f>
        <v>-0.33235000000013315</v>
      </c>
      <c r="M26" s="337"/>
      <c r="N26" s="335">
        <f>N25+N24</f>
        <v>2667.9775</v>
      </c>
      <c r="O26" s="335">
        <f t="shared" ref="O26:T26" si="15">O25+O24</f>
        <v>2251.2019600000003</v>
      </c>
      <c r="P26" s="335">
        <f t="shared" si="15"/>
        <v>-416.77553999999981</v>
      </c>
      <c r="Q26" s="335">
        <f t="shared" si="15"/>
        <v>2667.9775</v>
      </c>
      <c r="R26" s="335">
        <f t="shared" si="15"/>
        <v>4957.8301899999997</v>
      </c>
      <c r="S26" s="335">
        <f t="shared" si="15"/>
        <v>2289.8526899999997</v>
      </c>
      <c r="T26" s="335">
        <f t="shared" si="15"/>
        <v>4957.8301899999997</v>
      </c>
      <c r="U26" s="219"/>
      <c r="V26" s="31"/>
      <c r="W26" s="266"/>
      <c r="X26" s="266"/>
      <c r="Y26" s="494"/>
    </row>
    <row r="27" spans="1:25" ht="55.5" customHeight="1">
      <c r="A27" s="10"/>
      <c r="B27" s="515" t="s">
        <v>232</v>
      </c>
      <c r="C27" s="25"/>
      <c r="D27" s="206"/>
      <c r="E27" s="206"/>
      <c r="F27" s="206"/>
      <c r="G27" s="219"/>
      <c r="H27" s="206"/>
      <c r="I27" s="206"/>
      <c r="J27" s="335"/>
      <c r="K27" s="336"/>
      <c r="L27" s="336"/>
      <c r="M27" s="337"/>
      <c r="N27" s="335"/>
      <c r="O27" s="335">
        <v>0</v>
      </c>
      <c r="P27" s="335">
        <f t="shared" si="3"/>
        <v>0</v>
      </c>
      <c r="Q27" s="357"/>
      <c r="R27" s="357">
        <v>0.5</v>
      </c>
      <c r="S27" s="357">
        <f t="shared" si="5"/>
        <v>0.5</v>
      </c>
      <c r="T27" s="336">
        <v>0.5</v>
      </c>
      <c r="U27" s="219">
        <f t="shared" si="7"/>
        <v>1</v>
      </c>
      <c r="V27" s="31"/>
      <c r="W27" s="266"/>
      <c r="X27" s="266"/>
      <c r="Y27" s="494"/>
    </row>
    <row r="28" spans="1:25" ht="55.5" customHeight="1">
      <c r="A28" s="10"/>
      <c r="B28" s="475"/>
      <c r="C28" s="25"/>
      <c r="D28" s="206"/>
      <c r="E28" s="206"/>
      <c r="F28" s="206"/>
      <c r="G28" s="219"/>
      <c r="H28" s="206"/>
      <c r="I28" s="206"/>
      <c r="J28" s="335"/>
      <c r="K28" s="336"/>
      <c r="L28" s="336"/>
      <c r="M28" s="337"/>
      <c r="N28" s="335"/>
      <c r="O28" s="335">
        <v>0</v>
      </c>
      <c r="P28" s="335">
        <f t="shared" si="3"/>
        <v>0</v>
      </c>
      <c r="Q28" s="357"/>
      <c r="R28" s="357">
        <v>450</v>
      </c>
      <c r="S28" s="357">
        <f t="shared" si="5"/>
        <v>450</v>
      </c>
      <c r="T28" s="336">
        <v>450</v>
      </c>
      <c r="U28" s="219">
        <f t="shared" si="7"/>
        <v>900</v>
      </c>
      <c r="V28" s="31"/>
      <c r="W28" s="266"/>
      <c r="X28" s="266"/>
      <c r="Y28" s="494"/>
    </row>
    <row r="29" spans="1:25" ht="79.5" customHeight="1">
      <c r="A29" s="265" t="s">
        <v>13</v>
      </c>
      <c r="B29" s="263" t="s">
        <v>187</v>
      </c>
      <c r="C29" s="25">
        <v>2358.6999999999998</v>
      </c>
      <c r="D29" s="206">
        <v>1996</v>
      </c>
      <c r="E29" s="206">
        <f t="shared" si="12"/>
        <v>-362.69999999999982</v>
      </c>
      <c r="F29" s="206">
        <v>2056.1</v>
      </c>
      <c r="G29" s="219">
        <v>3413.52</v>
      </c>
      <c r="H29" s="206">
        <f t="shared" ref="H29:H49" si="16">G29-F29</f>
        <v>1357.42</v>
      </c>
      <c r="I29" s="206">
        <v>2056.1</v>
      </c>
      <c r="J29" s="335">
        <f>3321.3+'поясеительная+'!M19</f>
        <v>3400.68</v>
      </c>
      <c r="K29" s="336">
        <v>3698.28</v>
      </c>
      <c r="L29" s="336"/>
      <c r="M29" s="337">
        <f t="shared" si="14"/>
        <v>297.60000000000036</v>
      </c>
      <c r="N29" s="335">
        <v>3321.3</v>
      </c>
      <c r="O29" s="335">
        <v>3321.3</v>
      </c>
      <c r="P29" s="335">
        <f t="shared" si="3"/>
        <v>0</v>
      </c>
      <c r="Q29" s="357">
        <v>3321.3</v>
      </c>
      <c r="R29" s="357">
        <v>3321.3</v>
      </c>
      <c r="S29" s="357">
        <f t="shared" si="5"/>
        <v>0</v>
      </c>
      <c r="T29" s="336">
        <v>3321.3</v>
      </c>
      <c r="U29" s="219">
        <f t="shared" si="7"/>
        <v>19071.7</v>
      </c>
      <c r="V29" s="31" t="s">
        <v>12</v>
      </c>
      <c r="W29" s="31" t="s">
        <v>128</v>
      </c>
      <c r="X29" s="31"/>
      <c r="Y29" s="494"/>
    </row>
    <row r="30" spans="1:25" ht="105" customHeight="1">
      <c r="A30" s="265" t="s">
        <v>14</v>
      </c>
      <c r="B30" s="263" t="s">
        <v>177</v>
      </c>
      <c r="C30" s="25">
        <v>11117.2</v>
      </c>
      <c r="D30" s="206">
        <v>12059.5</v>
      </c>
      <c r="E30" s="206">
        <f t="shared" si="12"/>
        <v>942.29999999999927</v>
      </c>
      <c r="F30" s="206">
        <v>8452.5</v>
      </c>
      <c r="G30" s="219">
        <v>14827</v>
      </c>
      <c r="H30" s="206">
        <f t="shared" si="16"/>
        <v>6374.5</v>
      </c>
      <c r="I30" s="206">
        <v>8452.5</v>
      </c>
      <c r="J30" s="335">
        <f>14500+'поясеительная+'!M20</f>
        <v>15648.82</v>
      </c>
      <c r="K30" s="336">
        <v>16926.22</v>
      </c>
      <c r="L30" s="336"/>
      <c r="M30" s="337">
        <f t="shared" si="14"/>
        <v>1277.4000000000015</v>
      </c>
      <c r="N30" s="335">
        <v>14500</v>
      </c>
      <c r="O30" s="335">
        <v>16567.8</v>
      </c>
      <c r="P30" s="335">
        <f t="shared" si="3"/>
        <v>2067.7999999999993</v>
      </c>
      <c r="Q30" s="357">
        <v>14500</v>
      </c>
      <c r="R30" s="357">
        <v>16567.8</v>
      </c>
      <c r="S30" s="357">
        <f t="shared" si="5"/>
        <v>2067.7999999999993</v>
      </c>
      <c r="T30" s="336">
        <v>16567.8</v>
      </c>
      <c r="U30" s="219">
        <f t="shared" si="7"/>
        <v>93516.12000000001</v>
      </c>
      <c r="V30" s="31" t="s">
        <v>12</v>
      </c>
      <c r="W30" s="31"/>
      <c r="X30" s="31"/>
      <c r="Y30" s="494"/>
    </row>
    <row r="31" spans="1:25" ht="60.75" customHeight="1">
      <c r="A31" s="265" t="s">
        <v>15</v>
      </c>
      <c r="B31" s="263" t="s">
        <v>196</v>
      </c>
      <c r="C31" s="25">
        <v>3000</v>
      </c>
      <c r="D31" s="206">
        <v>3500</v>
      </c>
      <c r="E31" s="206">
        <f t="shared" si="12"/>
        <v>500</v>
      </c>
      <c r="F31" s="206">
        <v>6000</v>
      </c>
      <c r="G31" s="219">
        <v>500</v>
      </c>
      <c r="H31" s="206">
        <f t="shared" si="16"/>
        <v>-5500</v>
      </c>
      <c r="I31" s="206">
        <v>6000</v>
      </c>
      <c r="J31" s="335">
        <v>5000</v>
      </c>
      <c r="K31" s="336"/>
      <c r="L31" s="336"/>
      <c r="M31" s="337">
        <f t="shared" si="14"/>
        <v>-5000</v>
      </c>
      <c r="N31" s="335"/>
      <c r="O31" s="335"/>
      <c r="P31" s="335">
        <f t="shared" si="3"/>
        <v>0</v>
      </c>
      <c r="Q31" s="357"/>
      <c r="R31" s="357"/>
      <c r="S31" s="357">
        <f t="shared" si="5"/>
        <v>0</v>
      </c>
      <c r="T31" s="336"/>
      <c r="U31" s="219">
        <f t="shared" si="7"/>
        <v>4000</v>
      </c>
      <c r="V31" s="31" t="s">
        <v>12</v>
      </c>
      <c r="W31" s="31" t="s">
        <v>135</v>
      </c>
      <c r="X31" s="31"/>
      <c r="Y31" s="494"/>
    </row>
    <row r="32" spans="1:25" ht="72.75" customHeight="1">
      <c r="A32" s="265" t="s">
        <v>16</v>
      </c>
      <c r="B32" s="263" t="s">
        <v>178</v>
      </c>
      <c r="C32" s="25">
        <v>5861</v>
      </c>
      <c r="D32" s="206">
        <v>10552.2</v>
      </c>
      <c r="E32" s="206">
        <f t="shared" si="12"/>
        <v>4691.2000000000007</v>
      </c>
      <c r="F32" s="206">
        <v>3371.6</v>
      </c>
      <c r="G32" s="219">
        <v>18953.221000000001</v>
      </c>
      <c r="H32" s="206">
        <f t="shared" si="16"/>
        <v>15581.621000000001</v>
      </c>
      <c r="I32" s="206">
        <v>3371.6</v>
      </c>
      <c r="J32" s="335">
        <f>16720.3-5000+'поясеительная+'!M22</f>
        <v>11509.449999999999</v>
      </c>
      <c r="K32" s="336">
        <f>20193.91-5000+106.84</f>
        <v>15300.75</v>
      </c>
      <c r="L32" s="336"/>
      <c r="M32" s="337">
        <f t="shared" si="14"/>
        <v>3791.3000000000011</v>
      </c>
      <c r="N32" s="335">
        <v>11720.2</v>
      </c>
      <c r="O32" s="335">
        <f>18720.3+175</f>
        <v>18895.3</v>
      </c>
      <c r="P32" s="335">
        <f t="shared" si="3"/>
        <v>7175.0999999999985</v>
      </c>
      <c r="Q32" s="357">
        <f>J32+219.85-9</f>
        <v>11720.3</v>
      </c>
      <c r="R32" s="357">
        <f>18420.3+175</f>
        <v>18595.3</v>
      </c>
      <c r="S32" s="357">
        <f t="shared" si="5"/>
        <v>6875</v>
      </c>
      <c r="T32" s="336">
        <f>18420.3+175</f>
        <v>18595.3</v>
      </c>
      <c r="U32" s="219">
        <f t="shared" si="7"/>
        <v>100892.07100000001</v>
      </c>
      <c r="V32" s="31" t="s">
        <v>12</v>
      </c>
      <c r="W32" s="229" t="s">
        <v>136</v>
      </c>
      <c r="X32" s="229"/>
      <c r="Y32" s="494"/>
    </row>
    <row r="33" spans="1:25" ht="104.25" customHeight="1">
      <c r="A33" s="265" t="s">
        <v>17</v>
      </c>
      <c r="B33" s="263" t="s">
        <v>190</v>
      </c>
      <c r="C33" s="25">
        <v>566.79999999999995</v>
      </c>
      <c r="D33" s="206">
        <v>566.79999999999995</v>
      </c>
      <c r="E33" s="206">
        <f t="shared" si="12"/>
        <v>0</v>
      </c>
      <c r="F33" s="206">
        <v>0</v>
      </c>
      <c r="G33" s="219">
        <v>540</v>
      </c>
      <c r="H33" s="206">
        <f t="shared" si="16"/>
        <v>540</v>
      </c>
      <c r="I33" s="206">
        <v>0</v>
      </c>
      <c r="J33" s="335">
        <v>480</v>
      </c>
      <c r="K33" s="336">
        <v>480</v>
      </c>
      <c r="L33" s="336"/>
      <c r="M33" s="337">
        <f t="shared" si="14"/>
        <v>0</v>
      </c>
      <c r="N33" s="335">
        <f t="shared" ref="N33" si="17">J33</f>
        <v>480</v>
      </c>
      <c r="O33" s="335">
        <v>180</v>
      </c>
      <c r="P33" s="335">
        <f t="shared" si="3"/>
        <v>-300</v>
      </c>
      <c r="Q33" s="357">
        <f>J33</f>
        <v>480</v>
      </c>
      <c r="R33" s="357">
        <v>480</v>
      </c>
      <c r="S33" s="357">
        <f t="shared" si="5"/>
        <v>0</v>
      </c>
      <c r="T33" s="336">
        <v>480</v>
      </c>
      <c r="U33" s="219">
        <f t="shared" si="7"/>
        <v>2726.8</v>
      </c>
      <c r="V33" s="31" t="s">
        <v>12</v>
      </c>
      <c r="W33" s="31"/>
      <c r="X33" s="31"/>
      <c r="Y33" s="494"/>
    </row>
    <row r="34" spans="1:25" ht="120" customHeight="1">
      <c r="A34" s="265" t="s">
        <v>18</v>
      </c>
      <c r="B34" s="263" t="s">
        <v>184</v>
      </c>
      <c r="C34" s="25"/>
      <c r="D34" s="206">
        <v>0</v>
      </c>
      <c r="E34" s="206"/>
      <c r="F34" s="206"/>
      <c r="G34" s="219">
        <v>13026.1</v>
      </c>
      <c r="H34" s="206"/>
      <c r="I34" s="206"/>
      <c r="J34" s="335">
        <v>0</v>
      </c>
      <c r="K34" s="336"/>
      <c r="L34" s="336"/>
      <c r="M34" s="337">
        <f t="shared" si="14"/>
        <v>0</v>
      </c>
      <c r="N34" s="335">
        <v>0</v>
      </c>
      <c r="O34" s="335">
        <v>0</v>
      </c>
      <c r="P34" s="335">
        <f t="shared" si="3"/>
        <v>0</v>
      </c>
      <c r="Q34" s="357">
        <v>0</v>
      </c>
      <c r="R34" s="357">
        <v>0</v>
      </c>
      <c r="S34" s="357">
        <f t="shared" si="5"/>
        <v>0</v>
      </c>
      <c r="T34" s="336">
        <v>0</v>
      </c>
      <c r="U34" s="219">
        <f t="shared" si="7"/>
        <v>13026.1</v>
      </c>
      <c r="V34" s="31" t="s">
        <v>12</v>
      </c>
      <c r="W34" s="31"/>
      <c r="X34" s="31"/>
      <c r="Y34" s="494"/>
    </row>
    <row r="35" spans="1:25" ht="26.25">
      <c r="A35" s="513" t="s">
        <v>19</v>
      </c>
      <c r="B35" s="488" t="s">
        <v>189</v>
      </c>
      <c r="C35" s="25"/>
      <c r="D35" s="206">
        <v>0</v>
      </c>
      <c r="E35" s="206"/>
      <c r="F35" s="206"/>
      <c r="G35" s="219">
        <v>0</v>
      </c>
      <c r="H35" s="206"/>
      <c r="I35" s="206"/>
      <c r="J35" s="335">
        <v>3</v>
      </c>
      <c r="K35" s="336">
        <v>3.46475</v>
      </c>
      <c r="L35" s="336">
        <f>K35-J35</f>
        <v>0.46475</v>
      </c>
      <c r="M35" s="337">
        <f t="shared" si="14"/>
        <v>0.46475</v>
      </c>
      <c r="N35" s="335">
        <v>0</v>
      </c>
      <c r="O35" s="335">
        <v>4.2</v>
      </c>
      <c r="P35" s="335">
        <f t="shared" si="3"/>
        <v>4.2</v>
      </c>
      <c r="Q35" s="357">
        <v>0</v>
      </c>
      <c r="R35" s="357">
        <v>4.3</v>
      </c>
      <c r="S35" s="357">
        <f t="shared" si="5"/>
        <v>4.3</v>
      </c>
      <c r="T35" s="336">
        <v>4.4000000000000004</v>
      </c>
      <c r="U35" s="219">
        <f t="shared" si="7"/>
        <v>16.364750000000001</v>
      </c>
      <c r="V35" s="31" t="s">
        <v>12</v>
      </c>
      <c r="W35" s="31"/>
      <c r="X35" s="31"/>
      <c r="Y35" s="494"/>
    </row>
    <row r="36" spans="1:25" ht="26.25">
      <c r="A36" s="514"/>
      <c r="B36" s="514"/>
      <c r="C36" s="25"/>
      <c r="D36" s="206">
        <v>0</v>
      </c>
      <c r="E36" s="206"/>
      <c r="F36" s="206"/>
      <c r="G36" s="219">
        <v>0</v>
      </c>
      <c r="H36" s="206"/>
      <c r="I36" s="206"/>
      <c r="J36" s="335">
        <v>761.47577999999999</v>
      </c>
      <c r="K36" s="336">
        <v>761.47577999999999</v>
      </c>
      <c r="L36" s="336">
        <f t="shared" ref="L36:L38" si="18">K36-J36</f>
        <v>0</v>
      </c>
      <c r="M36" s="337">
        <f t="shared" si="14"/>
        <v>0</v>
      </c>
      <c r="N36" s="335">
        <v>0</v>
      </c>
      <c r="O36" s="335">
        <v>4193.9216999999999</v>
      </c>
      <c r="P36" s="335">
        <f t="shared" si="3"/>
        <v>4193.9216999999999</v>
      </c>
      <c r="Q36" s="357">
        <v>0</v>
      </c>
      <c r="R36" s="357">
        <v>4296.5543100000004</v>
      </c>
      <c r="S36" s="357">
        <f t="shared" si="5"/>
        <v>4296.5543100000004</v>
      </c>
      <c r="T36" s="336">
        <v>4394.0415599999997</v>
      </c>
      <c r="U36" s="219">
        <f t="shared" si="7"/>
        <v>13645.993349999999</v>
      </c>
      <c r="V36" s="31" t="s">
        <v>8</v>
      </c>
      <c r="W36" s="31"/>
      <c r="X36" s="31"/>
      <c r="Y36" s="494"/>
    </row>
    <row r="37" spans="1:25" ht="26.25">
      <c r="A37" s="489"/>
      <c r="B37" s="489"/>
      <c r="C37" s="25"/>
      <c r="D37" s="206">
        <v>0</v>
      </c>
      <c r="E37" s="206"/>
      <c r="F37" s="206"/>
      <c r="G37" s="219">
        <v>0</v>
      </c>
      <c r="H37" s="206"/>
      <c r="I37" s="206"/>
      <c r="J37" s="335">
        <v>2699.7777799999999</v>
      </c>
      <c r="K37" s="336">
        <v>2699.7777799999999</v>
      </c>
      <c r="L37" s="336">
        <f t="shared" si="18"/>
        <v>0</v>
      </c>
      <c r="M37" s="337">
        <f t="shared" si="14"/>
        <v>0</v>
      </c>
      <c r="N37" s="335">
        <v>0</v>
      </c>
      <c r="O37" s="335"/>
      <c r="P37" s="335">
        <f t="shared" si="3"/>
        <v>0</v>
      </c>
      <c r="Q37" s="357">
        <f>Q35+Q36</f>
        <v>0</v>
      </c>
      <c r="R37" s="357">
        <f t="shared" ref="R37:S37" si="19">R35+R36</f>
        <v>4300.8543100000006</v>
      </c>
      <c r="S37" s="357">
        <f t="shared" si="19"/>
        <v>4300.8543100000006</v>
      </c>
      <c r="T37" s="336"/>
      <c r="U37" s="219">
        <f t="shared" si="7"/>
        <v>7000.632090000001</v>
      </c>
      <c r="V37" s="31" t="s">
        <v>9</v>
      </c>
      <c r="W37" s="31"/>
      <c r="X37" s="31"/>
      <c r="Y37" s="494"/>
    </row>
    <row r="38" spans="1:25" ht="26.25">
      <c r="A38" s="332"/>
      <c r="B38" s="332"/>
      <c r="C38" s="25"/>
      <c r="D38" s="206"/>
      <c r="E38" s="206"/>
      <c r="F38" s="206"/>
      <c r="G38" s="219"/>
      <c r="H38" s="206"/>
      <c r="I38" s="206"/>
      <c r="J38" s="335">
        <f>J35+J36+J37</f>
        <v>3464.2535600000001</v>
      </c>
      <c r="K38" s="335">
        <f>K35+K36+K37</f>
        <v>3464.7183099999997</v>
      </c>
      <c r="L38" s="336">
        <f t="shared" si="18"/>
        <v>0.46474999999963984</v>
      </c>
      <c r="M38" s="337"/>
      <c r="N38" s="335"/>
      <c r="O38" s="335"/>
      <c r="P38" s="335">
        <f t="shared" si="3"/>
        <v>0</v>
      </c>
      <c r="Q38" s="357"/>
      <c r="R38" s="357"/>
      <c r="S38" s="357">
        <f t="shared" si="5"/>
        <v>0</v>
      </c>
      <c r="T38" s="336"/>
      <c r="U38" s="219"/>
      <c r="V38" s="31"/>
      <c r="W38" s="31"/>
      <c r="X38" s="31"/>
      <c r="Y38" s="494"/>
    </row>
    <row r="39" spans="1:25" s="268" customFormat="1" ht="50.25" customHeight="1">
      <c r="A39" s="508">
        <v>2</v>
      </c>
      <c r="B39" s="488" t="s">
        <v>32</v>
      </c>
      <c r="C39" s="291"/>
      <c r="D39" s="292">
        <v>560</v>
      </c>
      <c r="E39" s="292"/>
      <c r="F39" s="292"/>
      <c r="G39" s="293">
        <v>116</v>
      </c>
      <c r="H39" s="292"/>
      <c r="I39" s="292"/>
      <c r="J39" s="335">
        <v>0</v>
      </c>
      <c r="K39" s="336"/>
      <c r="L39" s="336"/>
      <c r="M39" s="337">
        <f t="shared" si="14"/>
        <v>0</v>
      </c>
      <c r="N39" s="335">
        <v>0</v>
      </c>
      <c r="O39" s="335"/>
      <c r="P39" s="335">
        <f t="shared" si="3"/>
        <v>0</v>
      </c>
      <c r="Q39" s="357">
        <v>0</v>
      </c>
      <c r="R39" s="357"/>
      <c r="S39" s="357">
        <f t="shared" si="5"/>
        <v>0</v>
      </c>
      <c r="T39" s="336"/>
      <c r="U39" s="219">
        <f t="shared" si="7"/>
        <v>676</v>
      </c>
      <c r="V39" s="263" t="s">
        <v>12</v>
      </c>
      <c r="W39" s="263"/>
      <c r="X39" s="263"/>
      <c r="Y39" s="494"/>
    </row>
    <row r="40" spans="1:25" s="268" customFormat="1" ht="50.25" customHeight="1">
      <c r="A40" s="509"/>
      <c r="B40" s="511"/>
      <c r="C40" s="291"/>
      <c r="D40" s="292">
        <v>1016.4</v>
      </c>
      <c r="E40" s="292"/>
      <c r="F40" s="292"/>
      <c r="G40" s="293">
        <v>600</v>
      </c>
      <c r="H40" s="292"/>
      <c r="I40" s="292"/>
      <c r="J40" s="335">
        <v>0</v>
      </c>
      <c r="K40" s="336"/>
      <c r="L40" s="336"/>
      <c r="M40" s="337">
        <f t="shared" si="14"/>
        <v>0</v>
      </c>
      <c r="N40" s="335">
        <v>0</v>
      </c>
      <c r="O40" s="335"/>
      <c r="P40" s="335">
        <f t="shared" si="3"/>
        <v>0</v>
      </c>
      <c r="Q40" s="357">
        <v>0</v>
      </c>
      <c r="R40" s="357"/>
      <c r="S40" s="357">
        <f t="shared" si="5"/>
        <v>0</v>
      </c>
      <c r="T40" s="336"/>
      <c r="U40" s="219">
        <f t="shared" si="7"/>
        <v>1616.4</v>
      </c>
      <c r="V40" s="263" t="s">
        <v>8</v>
      </c>
      <c r="W40" s="263"/>
      <c r="X40" s="263"/>
      <c r="Y40" s="494"/>
    </row>
    <row r="41" spans="1:25" s="268" customFormat="1" ht="85.5" customHeight="1">
      <c r="A41" s="509"/>
      <c r="B41" s="512"/>
      <c r="C41" s="291"/>
      <c r="D41" s="292">
        <v>6692.4</v>
      </c>
      <c r="E41" s="292"/>
      <c r="F41" s="292"/>
      <c r="G41" s="293">
        <v>2257.1999999999998</v>
      </c>
      <c r="H41" s="292"/>
      <c r="I41" s="292"/>
      <c r="J41" s="335">
        <v>0</v>
      </c>
      <c r="K41" s="336"/>
      <c r="L41" s="336"/>
      <c r="M41" s="337">
        <f t="shared" si="14"/>
        <v>0</v>
      </c>
      <c r="N41" s="335">
        <v>0</v>
      </c>
      <c r="O41" s="335"/>
      <c r="P41" s="335">
        <f t="shared" si="3"/>
        <v>0</v>
      </c>
      <c r="Q41" s="357">
        <v>0</v>
      </c>
      <c r="R41" s="357"/>
      <c r="S41" s="357">
        <f t="shared" si="5"/>
        <v>0</v>
      </c>
      <c r="T41" s="336"/>
      <c r="U41" s="219">
        <f t="shared" si="7"/>
        <v>8949.5999999999985</v>
      </c>
      <c r="V41" s="263" t="s">
        <v>9</v>
      </c>
      <c r="W41" s="263"/>
      <c r="X41" s="263"/>
      <c r="Y41" s="494"/>
    </row>
    <row r="42" spans="1:25" s="268" customFormat="1" ht="176.45" customHeight="1">
      <c r="A42" s="510"/>
      <c r="B42" s="263" t="s">
        <v>38</v>
      </c>
      <c r="C42" s="291"/>
      <c r="D42" s="292">
        <f>D39+D40+D41</f>
        <v>8268.7999999999993</v>
      </c>
      <c r="E42" s="292">
        <f t="shared" ref="E42:J42" si="20">E39+E40+E41</f>
        <v>0</v>
      </c>
      <c r="F42" s="292">
        <f t="shared" si="20"/>
        <v>0</v>
      </c>
      <c r="G42" s="293">
        <f t="shared" si="20"/>
        <v>2973.2</v>
      </c>
      <c r="H42" s="292">
        <f t="shared" si="20"/>
        <v>0</v>
      </c>
      <c r="I42" s="292">
        <f t="shared" si="20"/>
        <v>0</v>
      </c>
      <c r="J42" s="335">
        <f t="shared" si="20"/>
        <v>0</v>
      </c>
      <c r="K42" s="336"/>
      <c r="L42" s="336"/>
      <c r="M42" s="337">
        <f t="shared" si="14"/>
        <v>0</v>
      </c>
      <c r="N42" s="335">
        <v>0</v>
      </c>
      <c r="O42" s="335"/>
      <c r="P42" s="335">
        <f t="shared" si="3"/>
        <v>0</v>
      </c>
      <c r="Q42" s="357">
        <v>0</v>
      </c>
      <c r="R42" s="357"/>
      <c r="S42" s="357">
        <f t="shared" si="5"/>
        <v>0</v>
      </c>
      <c r="T42" s="336"/>
      <c r="U42" s="219">
        <f t="shared" si="7"/>
        <v>11242</v>
      </c>
      <c r="V42" s="263"/>
      <c r="W42" s="263"/>
      <c r="X42" s="263" t="s">
        <v>195</v>
      </c>
      <c r="Y42" s="494"/>
    </row>
    <row r="43" spans="1:25" ht="37.5" customHeight="1">
      <c r="A43" s="497" t="s">
        <v>48</v>
      </c>
      <c r="B43" s="499" t="s">
        <v>189</v>
      </c>
      <c r="C43" s="291">
        <v>500</v>
      </c>
      <c r="D43" s="292">
        <v>500</v>
      </c>
      <c r="E43" s="292">
        <f t="shared" si="12"/>
        <v>0</v>
      </c>
      <c r="F43" s="292">
        <v>500</v>
      </c>
      <c r="G43" s="293">
        <v>116</v>
      </c>
      <c r="H43" s="292">
        <f t="shared" si="16"/>
        <v>-384</v>
      </c>
      <c r="I43" s="292">
        <v>0</v>
      </c>
      <c r="J43" s="335">
        <v>0</v>
      </c>
      <c r="K43" s="336"/>
      <c r="L43" s="336"/>
      <c r="M43" s="337">
        <f t="shared" si="14"/>
        <v>0</v>
      </c>
      <c r="N43" s="335">
        <v>0</v>
      </c>
      <c r="O43" s="335"/>
      <c r="P43" s="335">
        <f t="shared" si="3"/>
        <v>0</v>
      </c>
      <c r="Q43" s="357">
        <v>0</v>
      </c>
      <c r="R43" s="357"/>
      <c r="S43" s="357">
        <f t="shared" si="5"/>
        <v>0</v>
      </c>
      <c r="T43" s="336"/>
      <c r="U43" s="219">
        <f t="shared" si="7"/>
        <v>616</v>
      </c>
      <c r="V43" s="263" t="s">
        <v>12</v>
      </c>
      <c r="W43" s="263"/>
      <c r="X43" s="263"/>
      <c r="Y43" s="494"/>
    </row>
    <row r="44" spans="1:25" ht="38.25" customHeight="1">
      <c r="A44" s="498"/>
      <c r="B44" s="500"/>
      <c r="C44" s="291">
        <v>874.6</v>
      </c>
      <c r="D44" s="292">
        <v>874.6</v>
      </c>
      <c r="E44" s="292">
        <f t="shared" si="12"/>
        <v>0</v>
      </c>
      <c r="F44" s="292">
        <v>914.7</v>
      </c>
      <c r="G44" s="293">
        <v>600</v>
      </c>
      <c r="H44" s="292">
        <f t="shared" si="16"/>
        <v>-314.70000000000005</v>
      </c>
      <c r="I44" s="292">
        <v>0</v>
      </c>
      <c r="J44" s="335">
        <v>0</v>
      </c>
      <c r="K44" s="336"/>
      <c r="L44" s="336"/>
      <c r="M44" s="337">
        <f t="shared" si="14"/>
        <v>0</v>
      </c>
      <c r="N44" s="335">
        <v>0</v>
      </c>
      <c r="O44" s="335"/>
      <c r="P44" s="335">
        <f t="shared" si="3"/>
        <v>0</v>
      </c>
      <c r="Q44" s="357">
        <v>0</v>
      </c>
      <c r="R44" s="357"/>
      <c r="S44" s="357">
        <f t="shared" si="5"/>
        <v>0</v>
      </c>
      <c r="T44" s="336"/>
      <c r="U44" s="219">
        <f t="shared" si="7"/>
        <v>1474.6</v>
      </c>
      <c r="V44" s="263" t="s">
        <v>8</v>
      </c>
      <c r="W44" s="263"/>
      <c r="X44" s="263"/>
      <c r="Y44" s="494"/>
    </row>
    <row r="45" spans="1:25" ht="31.5" customHeight="1">
      <c r="A45" s="498"/>
      <c r="B45" s="500"/>
      <c r="C45" s="291">
        <v>3290.2</v>
      </c>
      <c r="D45" s="292">
        <v>3290.2</v>
      </c>
      <c r="E45" s="292">
        <f t="shared" si="12"/>
        <v>0</v>
      </c>
      <c r="F45" s="292">
        <v>3440.8</v>
      </c>
      <c r="G45" s="293">
        <v>2257.1999999999998</v>
      </c>
      <c r="H45" s="292">
        <f t="shared" si="16"/>
        <v>-1183.6000000000004</v>
      </c>
      <c r="I45" s="292">
        <v>0</v>
      </c>
      <c r="J45" s="335">
        <v>0</v>
      </c>
      <c r="K45" s="336"/>
      <c r="L45" s="336"/>
      <c r="M45" s="337">
        <f t="shared" si="14"/>
        <v>0</v>
      </c>
      <c r="N45" s="335">
        <v>0</v>
      </c>
      <c r="O45" s="335"/>
      <c r="P45" s="335">
        <f t="shared" si="3"/>
        <v>0</v>
      </c>
      <c r="Q45" s="357">
        <v>0</v>
      </c>
      <c r="R45" s="357"/>
      <c r="S45" s="357">
        <f t="shared" si="5"/>
        <v>0</v>
      </c>
      <c r="T45" s="336"/>
      <c r="U45" s="219">
        <f t="shared" si="7"/>
        <v>5547.4</v>
      </c>
      <c r="V45" s="263" t="s">
        <v>9</v>
      </c>
      <c r="W45" s="263"/>
      <c r="X45" s="263"/>
      <c r="Y45" s="494"/>
    </row>
    <row r="46" spans="1:25" ht="108.6" customHeight="1">
      <c r="A46" s="10"/>
      <c r="B46" s="263" t="s">
        <v>60</v>
      </c>
      <c r="C46" s="25">
        <f>C43+C44+C45</f>
        <v>4664.7999999999993</v>
      </c>
      <c r="D46" s="206">
        <f>D43+D44+D45</f>
        <v>4664.7999999999993</v>
      </c>
      <c r="E46" s="206">
        <f t="shared" si="12"/>
        <v>0</v>
      </c>
      <c r="F46" s="206">
        <f>F43+F44+F45</f>
        <v>4855.5</v>
      </c>
      <c r="G46" s="219">
        <f>G43+G44+G45</f>
        <v>2973.2</v>
      </c>
      <c r="H46" s="206">
        <f t="shared" si="16"/>
        <v>-1882.3000000000002</v>
      </c>
      <c r="I46" s="206">
        <f>I43+I44+I45</f>
        <v>0</v>
      </c>
      <c r="J46" s="335">
        <v>0</v>
      </c>
      <c r="K46" s="336"/>
      <c r="L46" s="336"/>
      <c r="M46" s="337">
        <f t="shared" si="14"/>
        <v>0</v>
      </c>
      <c r="N46" s="335">
        <v>0</v>
      </c>
      <c r="O46" s="335"/>
      <c r="P46" s="335">
        <f t="shared" si="3"/>
        <v>0</v>
      </c>
      <c r="Q46" s="357">
        <v>0</v>
      </c>
      <c r="R46" s="357"/>
      <c r="S46" s="357">
        <f t="shared" si="5"/>
        <v>0</v>
      </c>
      <c r="T46" s="336"/>
      <c r="U46" s="219">
        <f t="shared" si="7"/>
        <v>7637.9999999999991</v>
      </c>
      <c r="V46" s="31"/>
      <c r="W46" s="31"/>
      <c r="X46" s="31"/>
      <c r="Y46" s="494"/>
    </row>
    <row r="47" spans="1:25" ht="47.45" customHeight="1">
      <c r="A47" s="486" t="s">
        <v>61</v>
      </c>
      <c r="B47" s="500" t="s">
        <v>179</v>
      </c>
      <c r="C47" s="25">
        <v>60</v>
      </c>
      <c r="D47" s="206">
        <v>60</v>
      </c>
      <c r="E47" s="206">
        <f t="shared" si="12"/>
        <v>0</v>
      </c>
      <c r="F47" s="206">
        <v>62</v>
      </c>
      <c r="G47" s="219">
        <v>0</v>
      </c>
      <c r="H47" s="206">
        <f t="shared" si="16"/>
        <v>-62</v>
      </c>
      <c r="I47" s="206">
        <v>0</v>
      </c>
      <c r="J47" s="335">
        <v>0</v>
      </c>
      <c r="K47" s="336"/>
      <c r="L47" s="336"/>
      <c r="M47" s="337">
        <f t="shared" si="14"/>
        <v>0</v>
      </c>
      <c r="N47" s="335">
        <v>0</v>
      </c>
      <c r="O47" s="335"/>
      <c r="P47" s="335">
        <f t="shared" si="3"/>
        <v>0</v>
      </c>
      <c r="Q47" s="357">
        <v>0</v>
      </c>
      <c r="R47" s="357"/>
      <c r="S47" s="357">
        <f t="shared" si="5"/>
        <v>0</v>
      </c>
      <c r="T47" s="336"/>
      <c r="U47" s="219">
        <f t="shared" si="7"/>
        <v>60</v>
      </c>
      <c r="V47" s="31" t="s">
        <v>12</v>
      </c>
      <c r="W47" s="31"/>
      <c r="X47" s="31"/>
      <c r="Y47" s="494"/>
    </row>
    <row r="48" spans="1:25" ht="106.15" customHeight="1">
      <c r="A48" s="496"/>
      <c r="B48" s="500"/>
      <c r="C48" s="25">
        <v>141.80000000000001</v>
      </c>
      <c r="D48" s="206">
        <v>141.80000000000001</v>
      </c>
      <c r="E48" s="206">
        <f t="shared" si="12"/>
        <v>0</v>
      </c>
      <c r="F48" s="206">
        <v>147.19999999999999</v>
      </c>
      <c r="G48" s="219">
        <v>0</v>
      </c>
      <c r="H48" s="206">
        <f t="shared" si="16"/>
        <v>-147.19999999999999</v>
      </c>
      <c r="I48" s="206">
        <v>0</v>
      </c>
      <c r="J48" s="335">
        <v>0</v>
      </c>
      <c r="K48" s="336"/>
      <c r="L48" s="336"/>
      <c r="M48" s="337">
        <f t="shared" si="14"/>
        <v>0</v>
      </c>
      <c r="N48" s="335">
        <v>0</v>
      </c>
      <c r="O48" s="335"/>
      <c r="P48" s="335">
        <f t="shared" si="3"/>
        <v>0</v>
      </c>
      <c r="Q48" s="357">
        <v>0</v>
      </c>
      <c r="R48" s="357"/>
      <c r="S48" s="357">
        <f t="shared" si="5"/>
        <v>0</v>
      </c>
      <c r="T48" s="336"/>
      <c r="U48" s="219">
        <f t="shared" si="7"/>
        <v>141.80000000000001</v>
      </c>
      <c r="V48" s="31" t="s">
        <v>8</v>
      </c>
      <c r="W48" s="31"/>
      <c r="X48" s="31"/>
      <c r="Y48" s="494"/>
    </row>
    <row r="49" spans="1:25" ht="54" customHeight="1">
      <c r="A49" s="496"/>
      <c r="B49" s="500"/>
      <c r="C49" s="25">
        <v>3402.2</v>
      </c>
      <c r="D49" s="206">
        <v>3402.2</v>
      </c>
      <c r="E49" s="206">
        <f t="shared" si="12"/>
        <v>0</v>
      </c>
      <c r="F49" s="206">
        <v>3533</v>
      </c>
      <c r="G49" s="219">
        <v>0</v>
      </c>
      <c r="H49" s="206">
        <f t="shared" si="16"/>
        <v>-3533</v>
      </c>
      <c r="I49" s="206">
        <v>0</v>
      </c>
      <c r="J49" s="335">
        <v>0</v>
      </c>
      <c r="K49" s="336"/>
      <c r="L49" s="336"/>
      <c r="M49" s="337">
        <f t="shared" si="14"/>
        <v>0</v>
      </c>
      <c r="N49" s="335">
        <v>0</v>
      </c>
      <c r="O49" s="335"/>
      <c r="P49" s="335">
        <f t="shared" si="3"/>
        <v>0</v>
      </c>
      <c r="Q49" s="357">
        <v>0</v>
      </c>
      <c r="R49" s="357"/>
      <c r="S49" s="357">
        <f t="shared" si="5"/>
        <v>0</v>
      </c>
      <c r="T49" s="336"/>
      <c r="U49" s="219">
        <f t="shared" si="7"/>
        <v>3402.2</v>
      </c>
      <c r="V49" s="31" t="s">
        <v>9</v>
      </c>
      <c r="W49" s="31"/>
      <c r="X49" s="31"/>
      <c r="Y49" s="494"/>
    </row>
    <row r="50" spans="1:25" ht="217.15" customHeight="1">
      <c r="A50" s="10"/>
      <c r="B50" s="263" t="s">
        <v>69</v>
      </c>
      <c r="C50" s="25">
        <f>C47+C48+C49</f>
        <v>3604</v>
      </c>
      <c r="D50" s="206">
        <f t="shared" ref="D50:J50" si="21">D47+D48+D49</f>
        <v>3604</v>
      </c>
      <c r="E50" s="206">
        <f t="shared" si="12"/>
        <v>0</v>
      </c>
      <c r="F50" s="206">
        <f t="shared" si="21"/>
        <v>3742.2</v>
      </c>
      <c r="G50" s="219">
        <v>0</v>
      </c>
      <c r="H50" s="206">
        <f t="shared" si="21"/>
        <v>-3742.2</v>
      </c>
      <c r="I50" s="206">
        <f t="shared" si="21"/>
        <v>0</v>
      </c>
      <c r="J50" s="335">
        <f t="shared" si="21"/>
        <v>0</v>
      </c>
      <c r="K50" s="336"/>
      <c r="L50" s="336"/>
      <c r="M50" s="337">
        <f t="shared" si="14"/>
        <v>0</v>
      </c>
      <c r="N50" s="335">
        <v>0</v>
      </c>
      <c r="O50" s="335"/>
      <c r="P50" s="335">
        <f t="shared" si="3"/>
        <v>0</v>
      </c>
      <c r="Q50" s="357">
        <v>0</v>
      </c>
      <c r="R50" s="357"/>
      <c r="S50" s="357">
        <f t="shared" si="5"/>
        <v>0</v>
      </c>
      <c r="T50" s="336"/>
      <c r="U50" s="219">
        <f t="shared" si="7"/>
        <v>3604</v>
      </c>
      <c r="V50" s="31"/>
      <c r="W50" s="31"/>
      <c r="X50" s="31"/>
      <c r="Y50" s="494"/>
    </row>
    <row r="51" spans="1:25" ht="78" customHeight="1">
      <c r="A51" s="501">
        <v>3</v>
      </c>
      <c r="B51" s="488" t="s">
        <v>51</v>
      </c>
      <c r="C51" s="25">
        <v>7251.3</v>
      </c>
      <c r="D51" s="206">
        <v>7506.7</v>
      </c>
      <c r="E51" s="206">
        <f>D51-C51</f>
        <v>255.39999999999964</v>
      </c>
      <c r="F51" s="206">
        <v>6849.6</v>
      </c>
      <c r="G51" s="219">
        <v>10304.700000000001</v>
      </c>
      <c r="H51" s="206">
        <f>G51-F51</f>
        <v>3455.1000000000004</v>
      </c>
      <c r="I51" s="206">
        <v>6849.6</v>
      </c>
      <c r="J51" s="335">
        <f>8194.6+'поясеительная+'!M40</f>
        <v>12333.6</v>
      </c>
      <c r="K51" s="336">
        <f>12582.4</f>
        <v>12582.4</v>
      </c>
      <c r="L51" s="336">
        <f>K51-J51</f>
        <v>248.79999999999927</v>
      </c>
      <c r="M51" s="337">
        <f t="shared" si="14"/>
        <v>248.79999999999927</v>
      </c>
      <c r="N51" s="335">
        <v>8194.6</v>
      </c>
      <c r="O51" s="335">
        <v>12657.9</v>
      </c>
      <c r="P51" s="335">
        <f t="shared" si="3"/>
        <v>4463.2999999999993</v>
      </c>
      <c r="Q51" s="357">
        <v>8194.6</v>
      </c>
      <c r="R51" s="357">
        <v>12657.9</v>
      </c>
      <c r="S51" s="357">
        <f t="shared" si="5"/>
        <v>4463.2999999999993</v>
      </c>
      <c r="T51" s="336">
        <v>12657.9</v>
      </c>
      <c r="U51" s="219">
        <f t="shared" si="7"/>
        <v>68367.5</v>
      </c>
      <c r="V51" s="31" t="s">
        <v>12</v>
      </c>
      <c r="W51" s="31" t="s">
        <v>137</v>
      </c>
      <c r="X51" s="31" t="s">
        <v>159</v>
      </c>
      <c r="Y51" s="494"/>
    </row>
    <row r="52" spans="1:25" ht="78" customHeight="1">
      <c r="A52" s="502"/>
      <c r="B52" s="489"/>
      <c r="C52" s="25"/>
      <c r="D52" s="206">
        <v>0</v>
      </c>
      <c r="E52" s="206"/>
      <c r="F52" s="206"/>
      <c r="G52" s="219">
        <v>250</v>
      </c>
      <c r="H52" s="206"/>
      <c r="I52" s="206"/>
      <c r="J52" s="335">
        <v>0</v>
      </c>
      <c r="K52" s="336"/>
      <c r="L52" s="336">
        <f t="shared" ref="L52:L53" si="22">K52-J52</f>
        <v>0</v>
      </c>
      <c r="M52" s="337">
        <f t="shared" si="14"/>
        <v>0</v>
      </c>
      <c r="N52" s="335">
        <v>0</v>
      </c>
      <c r="O52" s="335"/>
      <c r="P52" s="335">
        <f t="shared" si="3"/>
        <v>0</v>
      </c>
      <c r="Q52" s="357">
        <v>0</v>
      </c>
      <c r="R52" s="357"/>
      <c r="S52" s="357">
        <f t="shared" si="5"/>
        <v>0</v>
      </c>
      <c r="T52" s="336"/>
      <c r="U52" s="219">
        <f t="shared" si="7"/>
        <v>250</v>
      </c>
      <c r="V52" s="31" t="s">
        <v>8</v>
      </c>
      <c r="W52" s="31"/>
      <c r="X52" s="31"/>
      <c r="Y52" s="494"/>
    </row>
    <row r="53" spans="1:25" ht="78" customHeight="1">
      <c r="A53" s="321"/>
      <c r="B53" s="263" t="s">
        <v>233</v>
      </c>
      <c r="C53" s="25"/>
      <c r="D53" s="206"/>
      <c r="E53" s="206"/>
      <c r="F53" s="206"/>
      <c r="G53" s="219"/>
      <c r="H53" s="206"/>
      <c r="I53" s="206"/>
      <c r="J53" s="335">
        <v>5000</v>
      </c>
      <c r="K53" s="336">
        <v>5000</v>
      </c>
      <c r="L53" s="336">
        <f t="shared" si="22"/>
        <v>0</v>
      </c>
      <c r="M53" s="337">
        <f t="shared" si="14"/>
        <v>0</v>
      </c>
      <c r="N53" s="335">
        <v>5000</v>
      </c>
      <c r="O53" s="335">
        <v>5000</v>
      </c>
      <c r="P53" s="335">
        <f t="shared" si="3"/>
        <v>0</v>
      </c>
      <c r="Q53" s="357"/>
      <c r="R53" s="357">
        <v>5000</v>
      </c>
      <c r="S53" s="357">
        <f t="shared" si="5"/>
        <v>5000</v>
      </c>
      <c r="T53" s="336">
        <v>5000</v>
      </c>
      <c r="U53" s="219">
        <f t="shared" si="7"/>
        <v>20000</v>
      </c>
      <c r="V53" s="31"/>
      <c r="W53" s="31"/>
      <c r="X53" s="31"/>
      <c r="Y53" s="494"/>
    </row>
    <row r="54" spans="1:25" ht="70.150000000000006" customHeight="1">
      <c r="A54" s="10">
        <v>4</v>
      </c>
      <c r="B54" s="263" t="s">
        <v>86</v>
      </c>
      <c r="C54" s="25">
        <f>C55+C56</f>
        <v>40000</v>
      </c>
      <c r="D54" s="206">
        <f>D55+D56</f>
        <v>40000</v>
      </c>
      <c r="E54" s="206">
        <f t="shared" ref="E54:F54" si="23">E55+E56</f>
        <v>0</v>
      </c>
      <c r="F54" s="206">
        <f t="shared" si="23"/>
        <v>0</v>
      </c>
      <c r="G54" s="219">
        <v>0</v>
      </c>
      <c r="H54" s="206"/>
      <c r="I54" s="206"/>
      <c r="J54" s="335">
        <v>0</v>
      </c>
      <c r="K54" s="336"/>
      <c r="L54" s="336"/>
      <c r="M54" s="337">
        <f t="shared" si="14"/>
        <v>0</v>
      </c>
      <c r="N54" s="335">
        <v>0</v>
      </c>
      <c r="O54" s="335"/>
      <c r="P54" s="335">
        <f t="shared" si="3"/>
        <v>0</v>
      </c>
      <c r="Q54" s="357">
        <v>0</v>
      </c>
      <c r="R54" s="357"/>
      <c r="S54" s="357">
        <f t="shared" si="5"/>
        <v>0</v>
      </c>
      <c r="T54" s="336"/>
      <c r="U54" s="219">
        <f t="shared" si="7"/>
        <v>40000</v>
      </c>
      <c r="V54" s="31"/>
      <c r="W54" s="31"/>
      <c r="X54" s="31" t="s">
        <v>159</v>
      </c>
      <c r="Y54" s="494"/>
    </row>
    <row r="55" spans="1:25" ht="117" customHeight="1">
      <c r="A55" s="497" t="s">
        <v>54</v>
      </c>
      <c r="B55" s="500" t="s">
        <v>182</v>
      </c>
      <c r="C55" s="25">
        <v>40</v>
      </c>
      <c r="D55" s="206">
        <v>40</v>
      </c>
      <c r="E55" s="206"/>
      <c r="F55" s="206">
        <v>0</v>
      </c>
      <c r="G55" s="219">
        <v>0</v>
      </c>
      <c r="H55" s="206"/>
      <c r="I55" s="206">
        <v>0</v>
      </c>
      <c r="J55" s="335">
        <v>0</v>
      </c>
      <c r="K55" s="336"/>
      <c r="L55" s="336"/>
      <c r="M55" s="337">
        <f t="shared" si="14"/>
        <v>0</v>
      </c>
      <c r="N55" s="335">
        <v>0</v>
      </c>
      <c r="O55" s="335"/>
      <c r="P55" s="335">
        <f t="shared" si="3"/>
        <v>0</v>
      </c>
      <c r="Q55" s="357">
        <v>0</v>
      </c>
      <c r="R55" s="357"/>
      <c r="S55" s="357">
        <f t="shared" si="5"/>
        <v>0</v>
      </c>
      <c r="T55" s="336"/>
      <c r="U55" s="219">
        <f t="shared" si="7"/>
        <v>40</v>
      </c>
      <c r="V55" s="31" t="str">
        <f>V51</f>
        <v>Бюджет ЗГО</v>
      </c>
      <c r="W55" s="31"/>
      <c r="X55" s="31"/>
      <c r="Y55" s="494"/>
    </row>
    <row r="56" spans="1:25" ht="117" customHeight="1">
      <c r="A56" s="497"/>
      <c r="B56" s="503"/>
      <c r="C56" s="25">
        <v>39960</v>
      </c>
      <c r="D56" s="206">
        <v>39960</v>
      </c>
      <c r="E56" s="206"/>
      <c r="F56" s="206">
        <v>0</v>
      </c>
      <c r="G56" s="219">
        <v>0</v>
      </c>
      <c r="H56" s="206"/>
      <c r="I56" s="206">
        <v>0</v>
      </c>
      <c r="J56" s="335">
        <v>0</v>
      </c>
      <c r="K56" s="336"/>
      <c r="L56" s="336"/>
      <c r="M56" s="337">
        <f t="shared" si="14"/>
        <v>0</v>
      </c>
      <c r="N56" s="335">
        <v>0</v>
      </c>
      <c r="O56" s="335"/>
      <c r="P56" s="335">
        <f t="shared" si="3"/>
        <v>0</v>
      </c>
      <c r="Q56" s="357">
        <v>0</v>
      </c>
      <c r="R56" s="357"/>
      <c r="S56" s="357">
        <f t="shared" si="5"/>
        <v>0</v>
      </c>
      <c r="T56" s="336"/>
      <c r="U56" s="219">
        <f t="shared" si="7"/>
        <v>39960</v>
      </c>
      <c r="V56" s="31" t="str">
        <f>V48</f>
        <v>Областной бюджет</v>
      </c>
      <c r="W56" s="31"/>
      <c r="X56" s="31"/>
      <c r="Y56" s="494"/>
    </row>
    <row r="57" spans="1:25" ht="103.9" customHeight="1">
      <c r="A57" s="10">
        <v>5</v>
      </c>
      <c r="B57" s="263" t="s">
        <v>100</v>
      </c>
      <c r="C57" s="25">
        <f>C58+C59</f>
        <v>87588.9</v>
      </c>
      <c r="D57" s="206">
        <f>D58</f>
        <v>84088.9</v>
      </c>
      <c r="E57" s="206">
        <f t="shared" ref="E57:F57" si="24">E58</f>
        <v>0</v>
      </c>
      <c r="F57" s="206">
        <f t="shared" si="24"/>
        <v>0</v>
      </c>
      <c r="G57" s="219">
        <v>0</v>
      </c>
      <c r="H57" s="219">
        <f t="shared" ref="H57:J57" si="25">H58+H59+H60</f>
        <v>0</v>
      </c>
      <c r="I57" s="219">
        <f t="shared" si="25"/>
        <v>0</v>
      </c>
      <c r="J57" s="335">
        <f t="shared" si="25"/>
        <v>0</v>
      </c>
      <c r="K57" s="336"/>
      <c r="L57" s="336"/>
      <c r="M57" s="337">
        <f t="shared" si="14"/>
        <v>0</v>
      </c>
      <c r="N57" s="335">
        <f>N60+N59</f>
        <v>23897.392</v>
      </c>
      <c r="O57" s="335"/>
      <c r="P57" s="335">
        <f t="shared" si="3"/>
        <v>-23897.392</v>
      </c>
      <c r="Q57" s="357">
        <f>Q60+Q59</f>
        <v>97318.53</v>
      </c>
      <c r="R57" s="357"/>
      <c r="S57" s="357">
        <f t="shared" si="5"/>
        <v>-97318.53</v>
      </c>
      <c r="T57" s="336"/>
      <c r="U57" s="219">
        <f t="shared" si="7"/>
        <v>84088.9</v>
      </c>
      <c r="W57" s="31"/>
      <c r="X57" s="31" t="s">
        <v>220</v>
      </c>
      <c r="Y57" s="494"/>
    </row>
    <row r="58" spans="1:25" ht="148.9" customHeight="1">
      <c r="A58" s="269" t="s">
        <v>123</v>
      </c>
      <c r="B58" s="263" t="s">
        <v>180</v>
      </c>
      <c r="C58" s="25">
        <f>87588.9-3500</f>
        <v>84088.9</v>
      </c>
      <c r="D58" s="206">
        <v>84088.9</v>
      </c>
      <c r="E58" s="206"/>
      <c r="F58" s="206">
        <v>0</v>
      </c>
      <c r="G58" s="219">
        <v>590</v>
      </c>
      <c r="H58" s="206"/>
      <c r="I58" s="206">
        <v>0</v>
      </c>
      <c r="J58" s="335">
        <v>0</v>
      </c>
      <c r="K58" s="336"/>
      <c r="L58" s="336"/>
      <c r="M58" s="337">
        <f t="shared" si="14"/>
        <v>0</v>
      </c>
      <c r="N58" s="335">
        <v>0</v>
      </c>
      <c r="O58" s="335"/>
      <c r="P58" s="335">
        <f t="shared" si="3"/>
        <v>0</v>
      </c>
      <c r="Q58" s="357">
        <v>0</v>
      </c>
      <c r="R58" s="357"/>
      <c r="S58" s="357">
        <f t="shared" si="5"/>
        <v>0</v>
      </c>
      <c r="T58" s="336"/>
      <c r="U58" s="219">
        <f t="shared" si="7"/>
        <v>84678.9</v>
      </c>
      <c r="V58" s="31"/>
      <c r="W58" s="31"/>
      <c r="X58" s="31" t="s">
        <v>159</v>
      </c>
      <c r="Y58" s="494"/>
    </row>
    <row r="59" spans="1:25" ht="39" customHeight="1">
      <c r="A59" s="497" t="s">
        <v>124</v>
      </c>
      <c r="B59" s="500" t="s">
        <v>208</v>
      </c>
      <c r="C59" s="25">
        <v>3500</v>
      </c>
      <c r="D59" s="206">
        <v>0</v>
      </c>
      <c r="E59" s="206"/>
      <c r="F59" s="206">
        <v>0</v>
      </c>
      <c r="G59" s="219">
        <v>0</v>
      </c>
      <c r="H59" s="206"/>
      <c r="I59" s="206">
        <v>0</v>
      </c>
      <c r="J59" s="335">
        <v>0</v>
      </c>
      <c r="K59" s="336"/>
      <c r="L59" s="336"/>
      <c r="M59" s="337">
        <f t="shared" si="14"/>
        <v>0</v>
      </c>
      <c r="N59" s="335">
        <f>32.4-0.36</f>
        <v>32.04</v>
      </c>
      <c r="O59" s="335"/>
      <c r="P59" s="335">
        <f t="shared" si="3"/>
        <v>-32.04</v>
      </c>
      <c r="Q59" s="357">
        <v>97.32</v>
      </c>
      <c r="R59" s="357"/>
      <c r="S59" s="357">
        <f t="shared" si="5"/>
        <v>-97.32</v>
      </c>
      <c r="T59" s="336"/>
      <c r="U59" s="219">
        <f t="shared" si="7"/>
        <v>0</v>
      </c>
      <c r="V59" s="31" t="s">
        <v>99</v>
      </c>
      <c r="W59" s="31"/>
      <c r="X59" s="504" t="s">
        <v>221</v>
      </c>
      <c r="Y59" s="494"/>
    </row>
    <row r="60" spans="1:25" ht="78.75" customHeight="1">
      <c r="A60" s="487"/>
      <c r="B60" s="503"/>
      <c r="C60" s="25"/>
      <c r="D60" s="206">
        <v>0</v>
      </c>
      <c r="E60" s="206"/>
      <c r="F60" s="206"/>
      <c r="G60" s="219">
        <v>0</v>
      </c>
      <c r="H60" s="206"/>
      <c r="I60" s="206"/>
      <c r="J60" s="335">
        <v>0</v>
      </c>
      <c r="K60" s="336"/>
      <c r="L60" s="336"/>
      <c r="M60" s="337">
        <f t="shared" si="14"/>
        <v>0</v>
      </c>
      <c r="N60" s="335">
        <f>23897.392-32.04</f>
        <v>23865.351999999999</v>
      </c>
      <c r="O60" s="335"/>
      <c r="P60" s="335">
        <f t="shared" si="3"/>
        <v>-23865.351999999999</v>
      </c>
      <c r="Q60" s="357">
        <f>97318.53-97.32</f>
        <v>97221.209999999992</v>
      </c>
      <c r="R60" s="357"/>
      <c r="S60" s="357">
        <f t="shared" si="5"/>
        <v>-97221.209999999992</v>
      </c>
      <c r="T60" s="336"/>
      <c r="U60" s="219">
        <f t="shared" si="7"/>
        <v>0</v>
      </c>
      <c r="V60" s="31" t="s">
        <v>133</v>
      </c>
      <c r="W60" s="31"/>
      <c r="X60" s="492"/>
      <c r="Y60" s="494"/>
    </row>
    <row r="61" spans="1:25" s="272" customFormat="1" ht="40.5" customHeight="1">
      <c r="A61" s="241"/>
      <c r="B61" s="10" t="s">
        <v>20</v>
      </c>
      <c r="C61" s="37" t="e">
        <f>C17+#REF!+C51+C55+C58+C59</f>
        <v>#REF!</v>
      </c>
      <c r="D61" s="206">
        <f>D17+D39+D51+D55+D58</f>
        <v>120970.09999999999</v>
      </c>
      <c r="E61" s="206" t="e">
        <f>E17+#REF!+E51+E55+E58</f>
        <v>#REF!</v>
      </c>
      <c r="F61" s="206" t="e">
        <f>F17+#REF!+F51+F55+F58</f>
        <v>#REF!</v>
      </c>
      <c r="G61" s="219">
        <v>62273.241000000002</v>
      </c>
      <c r="H61" s="206" t="e">
        <f>H17+#REF!+H51+H55+H58</f>
        <v>#REF!</v>
      </c>
      <c r="I61" s="206" t="e">
        <f>I17+#REF!+I51+I55+I58</f>
        <v>#REF!</v>
      </c>
      <c r="J61" s="335">
        <f>J17+J51+J55+J57</f>
        <v>48378.549999999996</v>
      </c>
      <c r="K61" s="336">
        <f>K17+K51+K55+K57</f>
        <v>53993.782400000004</v>
      </c>
      <c r="L61" s="336">
        <f>K61-J61</f>
        <v>5615.2324000000081</v>
      </c>
      <c r="M61" s="337">
        <f t="shared" si="14"/>
        <v>5615.2324000000081</v>
      </c>
      <c r="N61" s="335">
        <f>N17+N51+N55+N59</f>
        <v>38251.14</v>
      </c>
      <c r="O61" s="335">
        <f>O17+O51+O55+O59</f>
        <v>51628.799999999996</v>
      </c>
      <c r="P61" s="335">
        <f t="shared" si="3"/>
        <v>13377.659999999996</v>
      </c>
      <c r="Q61" s="357">
        <f>Q17+Q51+Q55+Q59</f>
        <v>38316.519999999997</v>
      </c>
      <c r="R61" s="357">
        <f>R17+R51+R55+R59</f>
        <v>51632.1</v>
      </c>
      <c r="S61" s="357">
        <f t="shared" si="5"/>
        <v>13315.580000000002</v>
      </c>
      <c r="T61" s="336">
        <f>T17+T51+T55+T59</f>
        <v>51632.2</v>
      </c>
      <c r="U61" s="219">
        <f t="shared" si="7"/>
        <v>392130.22339999996</v>
      </c>
      <c r="V61" s="241"/>
      <c r="W61" s="271"/>
      <c r="X61" s="271"/>
      <c r="Y61" s="45"/>
    </row>
    <row r="62" spans="1:25" s="272" customFormat="1" ht="53.25" customHeight="1">
      <c r="A62" s="273"/>
      <c r="B62" s="31" t="s">
        <v>21</v>
      </c>
      <c r="C62" s="37" t="e">
        <f>C18+C56+#REF!</f>
        <v>#REF!</v>
      </c>
      <c r="D62" s="206">
        <f>D18+D56+D40</f>
        <v>43810.9</v>
      </c>
      <c r="E62" s="206" t="e">
        <f>E18+E56+#REF!</f>
        <v>#REF!</v>
      </c>
      <c r="F62" s="206" t="e">
        <f>F18+F56+#REF!</f>
        <v>#REF!</v>
      </c>
      <c r="G62" s="219">
        <v>3584.7</v>
      </c>
      <c r="H62" s="206" t="e">
        <f>H18+H56+#REF!</f>
        <v>#REF!</v>
      </c>
      <c r="I62" s="206" t="e">
        <f>I18+I56+#REF!</f>
        <v>#REF!</v>
      </c>
      <c r="J62" s="335">
        <f>J18</f>
        <v>3426.4532799999997</v>
      </c>
      <c r="K62" s="336">
        <f>K18</f>
        <v>3426.4532799999997</v>
      </c>
      <c r="L62" s="336">
        <f t="shared" ref="L62:L64" si="26">K62-J62</f>
        <v>0</v>
      </c>
      <c r="M62" s="337">
        <f t="shared" si="14"/>
        <v>0</v>
      </c>
      <c r="N62" s="335">
        <f>N18+N60</f>
        <v>26530.3295</v>
      </c>
      <c r="O62" s="335">
        <f>O18+O60</f>
        <v>6442.82366</v>
      </c>
      <c r="P62" s="335">
        <f t="shared" si="3"/>
        <v>-20087.505839999998</v>
      </c>
      <c r="Q62" s="357">
        <f>Q18+Q60</f>
        <v>99886.187499999985</v>
      </c>
      <c r="R62" s="357">
        <f>R18+R60</f>
        <v>9699.3845000000001</v>
      </c>
      <c r="S62" s="357">
        <f t="shared" si="5"/>
        <v>-90186.802999999985</v>
      </c>
      <c r="T62" s="336">
        <f>T18+T60</f>
        <v>9796.8717499999984</v>
      </c>
      <c r="U62" s="219">
        <f t="shared" si="7"/>
        <v>76761.133189999993</v>
      </c>
      <c r="V62" s="241"/>
      <c r="W62" s="271"/>
      <c r="X62" s="271"/>
      <c r="Y62" s="274"/>
    </row>
    <row r="63" spans="1:25" s="272" customFormat="1" ht="45" customHeight="1">
      <c r="A63" s="241"/>
      <c r="B63" s="31" t="s">
        <v>9</v>
      </c>
      <c r="C63" s="37" t="e">
        <f>#REF!</f>
        <v>#REF!</v>
      </c>
      <c r="D63" s="206">
        <f>D41</f>
        <v>6692.4</v>
      </c>
      <c r="E63" s="206" t="e">
        <f>#REF!</f>
        <v>#REF!</v>
      </c>
      <c r="F63" s="206" t="e">
        <f>#REF!</f>
        <v>#REF!</v>
      </c>
      <c r="G63" s="219">
        <v>2257.1999999999998</v>
      </c>
      <c r="H63" s="206" t="e">
        <f>#REF!</f>
        <v>#REF!</v>
      </c>
      <c r="I63" s="206" t="e">
        <f>#REF!</f>
        <v>#REF!</v>
      </c>
      <c r="J63" s="335">
        <f>J19</f>
        <v>2699.7777799999999</v>
      </c>
      <c r="K63" s="336">
        <f>K19</f>
        <v>2699.7777799999999</v>
      </c>
      <c r="L63" s="336">
        <f t="shared" si="26"/>
        <v>0</v>
      </c>
      <c r="M63" s="337">
        <f t="shared" si="14"/>
        <v>0</v>
      </c>
      <c r="N63" s="335">
        <f>N19</f>
        <v>0</v>
      </c>
      <c r="O63" s="335">
        <f>O19</f>
        <v>0</v>
      </c>
      <c r="P63" s="335">
        <f t="shared" si="3"/>
        <v>0</v>
      </c>
      <c r="Q63" s="357">
        <f>Q19</f>
        <v>0</v>
      </c>
      <c r="R63" s="357">
        <f>R19</f>
        <v>0</v>
      </c>
      <c r="S63" s="357">
        <f t="shared" si="5"/>
        <v>0</v>
      </c>
      <c r="T63" s="336">
        <f>T19</f>
        <v>0</v>
      </c>
      <c r="U63" s="219">
        <f t="shared" si="7"/>
        <v>11649.377779999999</v>
      </c>
      <c r="V63" s="241"/>
      <c r="W63" s="271"/>
      <c r="X63" s="271"/>
      <c r="Y63" s="241"/>
    </row>
    <row r="64" spans="1:25" s="272" customFormat="1" ht="53.25" customHeight="1">
      <c r="A64" s="241"/>
      <c r="B64" s="10" t="s">
        <v>22</v>
      </c>
      <c r="C64" s="37" t="e">
        <f>C61+C62+C63</f>
        <v>#REF!</v>
      </c>
      <c r="D64" s="206">
        <f t="shared" ref="D64:H64" si="27">D61+D62+D63</f>
        <v>171473.4</v>
      </c>
      <c r="E64" s="206" t="e">
        <f t="shared" si="27"/>
        <v>#REF!</v>
      </c>
      <c r="F64" s="206" t="e">
        <f t="shared" si="27"/>
        <v>#REF!</v>
      </c>
      <c r="G64" s="219">
        <f>G61+G62+G63</f>
        <v>68115.141000000003</v>
      </c>
      <c r="H64" s="206" t="e">
        <f t="shared" si="27"/>
        <v>#REF!</v>
      </c>
      <c r="I64" s="206" t="e">
        <f>I61+I62+I63</f>
        <v>#REF!</v>
      </c>
      <c r="J64" s="335">
        <f>J61+J62+J63</f>
        <v>54504.781059999994</v>
      </c>
      <c r="K64" s="336">
        <f>K61+K62+K63</f>
        <v>60120.013460000002</v>
      </c>
      <c r="L64" s="336">
        <f t="shared" si="26"/>
        <v>5615.2324000000081</v>
      </c>
      <c r="M64" s="337">
        <f t="shared" si="14"/>
        <v>5615.2324000000081</v>
      </c>
      <c r="N64" s="335">
        <f t="shared" ref="N64" si="28">N61+N62+N63</f>
        <v>64781.469499999999</v>
      </c>
      <c r="O64" s="335">
        <f>O61+O62+O63</f>
        <v>58071.623659999997</v>
      </c>
      <c r="P64" s="335">
        <f t="shared" si="3"/>
        <v>-6709.8458400000018</v>
      </c>
      <c r="Q64" s="357">
        <f>Q61+Q62+Q63</f>
        <v>138202.70749999999</v>
      </c>
      <c r="R64" s="357">
        <f t="shared" ref="R64:T64" si="29">R61+R62+R63</f>
        <v>61331.484499999999</v>
      </c>
      <c r="S64" s="357">
        <f t="shared" si="5"/>
        <v>-76871.222999999998</v>
      </c>
      <c r="T64" s="336">
        <f t="shared" si="29"/>
        <v>61429.071749999996</v>
      </c>
      <c r="U64" s="219">
        <f t="shared" si="7"/>
        <v>480540.73436999996</v>
      </c>
      <c r="V64" s="239"/>
      <c r="W64" s="274"/>
      <c r="X64" s="274"/>
      <c r="Y64" s="275"/>
    </row>
    <row r="65" spans="1:25" s="272" customFormat="1" ht="51.75" customHeight="1">
      <c r="A65" s="241"/>
      <c r="B65" s="315" t="s">
        <v>205</v>
      </c>
      <c r="C65" s="316"/>
      <c r="D65" s="317">
        <v>171473.4</v>
      </c>
      <c r="E65" s="317"/>
      <c r="F65" s="317"/>
      <c r="G65" s="317">
        <v>89438.2</v>
      </c>
      <c r="H65" s="317"/>
      <c r="I65" s="317"/>
      <c r="J65" s="345"/>
      <c r="K65" s="346">
        <v>60120.013460000002</v>
      </c>
      <c r="L65" s="346"/>
      <c r="M65" s="345"/>
      <c r="N65" s="353"/>
      <c r="O65" s="335">
        <v>58071.623659999997</v>
      </c>
      <c r="P65" s="335">
        <f t="shared" si="3"/>
        <v>58071.623659999997</v>
      </c>
      <c r="Q65" s="357"/>
      <c r="R65" s="357">
        <v>61331.484499999999</v>
      </c>
      <c r="S65" s="357">
        <f t="shared" si="5"/>
        <v>61331.484499999999</v>
      </c>
      <c r="T65" s="336">
        <v>61429.071750000003</v>
      </c>
      <c r="U65" s="317"/>
      <c r="V65" s="239"/>
      <c r="W65" s="274"/>
      <c r="X65" s="274"/>
      <c r="Y65" s="275"/>
    </row>
    <row r="66" spans="1:25" s="272" customFormat="1" ht="51.75" customHeight="1">
      <c r="A66" s="241"/>
      <c r="B66" s="315" t="s">
        <v>132</v>
      </c>
      <c r="C66" s="316"/>
      <c r="D66" s="317">
        <f>D65-D64</f>
        <v>0</v>
      </c>
      <c r="E66" s="317"/>
      <c r="F66" s="317"/>
      <c r="G66" s="317">
        <f>G65-G64</f>
        <v>21323.058999999994</v>
      </c>
      <c r="H66" s="317"/>
      <c r="I66" s="317"/>
      <c r="J66" s="345"/>
      <c r="K66" s="346">
        <f>K65-K64</f>
        <v>0</v>
      </c>
      <c r="L66" s="346"/>
      <c r="M66" s="345"/>
      <c r="N66" s="353"/>
      <c r="O66" s="335">
        <f t="shared" ref="O66" si="30">O65-O64</f>
        <v>0</v>
      </c>
      <c r="P66" s="335">
        <f t="shared" si="3"/>
        <v>0</v>
      </c>
      <c r="Q66" s="357"/>
      <c r="R66" s="357">
        <f>R65-R64</f>
        <v>0</v>
      </c>
      <c r="S66" s="357">
        <f t="shared" si="5"/>
        <v>0</v>
      </c>
      <c r="T66" s="336">
        <f t="shared" ref="T66" si="31">T65-T64</f>
        <v>0</v>
      </c>
      <c r="U66" s="317"/>
      <c r="V66" s="239"/>
      <c r="W66" s="274"/>
      <c r="X66" s="274"/>
      <c r="Y66" s="275"/>
    </row>
    <row r="67" spans="1:25" s="259" customFormat="1" ht="58.5" customHeight="1">
      <c r="A67" s="496" t="s">
        <v>23</v>
      </c>
      <c r="B67" s="496"/>
      <c r="C67" s="496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6"/>
      <c r="P67" s="496"/>
      <c r="Q67" s="496"/>
      <c r="R67" s="496"/>
      <c r="S67" s="496"/>
      <c r="T67" s="496"/>
      <c r="U67" s="496"/>
      <c r="V67" s="496"/>
      <c r="W67" s="496"/>
      <c r="X67" s="496"/>
      <c r="Y67" s="496"/>
    </row>
    <row r="68" spans="1:25" s="276" customFormat="1" ht="70.5" customHeight="1">
      <c r="A68" s="493" t="s">
        <v>56</v>
      </c>
      <c r="B68" s="493"/>
      <c r="C68" s="493"/>
      <c r="D68" s="493"/>
      <c r="E68" s="493"/>
      <c r="F68" s="493"/>
      <c r="G68" s="493"/>
      <c r="H68" s="493"/>
      <c r="I68" s="493"/>
      <c r="J68" s="493"/>
      <c r="K68" s="493"/>
      <c r="L68" s="493"/>
      <c r="M68" s="493"/>
      <c r="N68" s="493"/>
      <c r="O68" s="493"/>
      <c r="P68" s="493"/>
      <c r="Q68" s="493"/>
      <c r="R68" s="493"/>
      <c r="S68" s="493"/>
      <c r="T68" s="493"/>
      <c r="U68" s="493"/>
      <c r="V68" s="493"/>
      <c r="W68" s="493"/>
      <c r="X68" s="493"/>
      <c r="Y68" s="494" t="s">
        <v>122</v>
      </c>
    </row>
    <row r="69" spans="1:25" s="276" customFormat="1" ht="47.25" customHeight="1">
      <c r="A69" s="495" t="s">
        <v>50</v>
      </c>
      <c r="B69" s="495"/>
      <c r="C69" s="495"/>
      <c r="D69" s="495"/>
      <c r="E69" s="495"/>
      <c r="F69" s="495"/>
      <c r="G69" s="495"/>
      <c r="H69" s="495"/>
      <c r="I69" s="495"/>
      <c r="J69" s="495"/>
      <c r="K69" s="495"/>
      <c r="L69" s="495"/>
      <c r="M69" s="495"/>
      <c r="N69" s="495"/>
      <c r="O69" s="495"/>
      <c r="P69" s="495"/>
      <c r="Q69" s="495"/>
      <c r="R69" s="495"/>
      <c r="S69" s="495"/>
      <c r="T69" s="495"/>
      <c r="U69" s="495"/>
      <c r="V69" s="495"/>
      <c r="W69" s="495"/>
      <c r="X69" s="495"/>
      <c r="Y69" s="494"/>
    </row>
    <row r="70" spans="1:25" ht="116.45" customHeight="1">
      <c r="A70" s="10">
        <v>6</v>
      </c>
      <c r="B70" s="31" t="s">
        <v>34</v>
      </c>
      <c r="C70" s="46">
        <f>C71+C72+C73+C74+C75+C76+C77+C79+C80+C82+C83+C85+C86+C88+C89+C91+C92+C94+C95</f>
        <v>392936.81</v>
      </c>
      <c r="D70" s="206">
        <f>D71+D72+D73+D74+D75+D76+D77+D79+D80+D82+D83+D85+D86+D88+D89+D91+D92+D94+D95</f>
        <v>431644.31</v>
      </c>
      <c r="E70" s="206">
        <f>D70-C70</f>
        <v>38707.5</v>
      </c>
      <c r="F70" s="206">
        <f>F106</f>
        <v>225157.4</v>
      </c>
      <c r="G70" s="219">
        <f>G71+G72+G73+G74+G75+G76+G77+G79+G80+G82+G83+G85+G86+G88+G89+G92+G94+G91+G95+G97+G98+G99+G100</f>
        <v>597252.60576000006</v>
      </c>
      <c r="H70" s="206">
        <f>H106</f>
        <v>477459.15575999999</v>
      </c>
      <c r="I70" s="206">
        <f>I106</f>
        <v>225157.4</v>
      </c>
      <c r="J70" s="335">
        <f>J71+J72+J73+J74+J75+J76+J77+J79+J80+J82+J83+J85+J86+J88+J89+J91+J92+J94+J95+J97+J98+J99+J100</f>
        <v>355379.01821000001</v>
      </c>
      <c r="K70" s="336">
        <f>K71+K72+K73+K74+K75+K76+K77+K79+K80+K82+K83+K85+K86+K88+K89+K91+K92+K94+K95+K97+K98+K99+K100</f>
        <v>381332.12917999987</v>
      </c>
      <c r="L70" s="336">
        <f>K70-J70</f>
        <v>25953.110969999863</v>
      </c>
      <c r="M70" s="338">
        <f t="shared" ref="M70:M77" si="32">K70-J70</f>
        <v>25953.110969999863</v>
      </c>
      <c r="N70" s="335">
        <f t="shared" ref="N70:T70" si="33">N71+N72+N73+N74+N75+N76+N77+N79+N80+N82+N83+N85+N86+N88+N89+N91+N92+N94+N95+N97+N98+N99+N100</f>
        <v>301362.49999999994</v>
      </c>
      <c r="O70" s="335">
        <f>O71+O72+O73+O74+O75+O76+O77+O79+O80+O82+O83+O85+O86+O88+O89+O91+O92+O94+O95+O97+O98+O99+O100</f>
        <v>312847.22000000009</v>
      </c>
      <c r="P70" s="335">
        <f>O70-N70</f>
        <v>11484.720000000147</v>
      </c>
      <c r="Q70" s="357">
        <f t="shared" si="33"/>
        <v>315510.99999999994</v>
      </c>
      <c r="R70" s="357">
        <f t="shared" si="33"/>
        <v>312712.82000000007</v>
      </c>
      <c r="S70" s="357">
        <f>R70-Q70</f>
        <v>-2798.1799999998766</v>
      </c>
      <c r="T70" s="336">
        <f t="shared" si="33"/>
        <v>312712.82000000007</v>
      </c>
      <c r="U70" s="338">
        <f>D70+G70+K70+O70+R70+T70</f>
        <v>2348501.9049400003</v>
      </c>
      <c r="V70" s="31"/>
      <c r="W70" s="31"/>
      <c r="X70" s="31" t="s">
        <v>159</v>
      </c>
      <c r="Y70" s="494"/>
    </row>
    <row r="71" spans="1:25" ht="85.5" customHeight="1">
      <c r="A71" s="265" t="s">
        <v>145</v>
      </c>
      <c r="B71" s="31" t="s">
        <v>168</v>
      </c>
      <c r="C71" s="46">
        <f>280315.1-C74</f>
        <v>265773.09999999998</v>
      </c>
      <c r="D71" s="206">
        <f>431644.31-149979.36</f>
        <v>281664.95</v>
      </c>
      <c r="E71" s="206">
        <f>D71-C71</f>
        <v>15891.850000000035</v>
      </c>
      <c r="F71" s="206">
        <f>207874.7-F74</f>
        <v>195457</v>
      </c>
      <c r="G71" s="219">
        <v>288637.95</v>
      </c>
      <c r="H71" s="206">
        <f>207874.7-H74</f>
        <v>198544.90000000002</v>
      </c>
      <c r="I71" s="206">
        <f>207874.7-I74</f>
        <v>195457</v>
      </c>
      <c r="J71" s="335">
        <f>274810.28+135.732</f>
        <v>274946.01200000005</v>
      </c>
      <c r="K71" s="336">
        <v>283944.78269999998</v>
      </c>
      <c r="L71" s="336">
        <f t="shared" ref="L71:L102" si="34">K71-J71</f>
        <v>8998.7706999999355</v>
      </c>
      <c r="M71" s="338">
        <f t="shared" si="32"/>
        <v>8998.7706999999355</v>
      </c>
      <c r="N71" s="335">
        <v>266364.5</v>
      </c>
      <c r="O71" s="335">
        <v>280513</v>
      </c>
      <c r="P71" s="335">
        <f t="shared" ref="P71:P113" si="35">O71-N71</f>
        <v>14148.5</v>
      </c>
      <c r="Q71" s="357">
        <v>280513</v>
      </c>
      <c r="R71" s="357">
        <v>280513</v>
      </c>
      <c r="S71" s="357">
        <f t="shared" ref="S71:S113" si="36">R71-Q71</f>
        <v>0</v>
      </c>
      <c r="T71" s="336">
        <v>280513</v>
      </c>
      <c r="U71" s="338">
        <f t="shared" ref="U71:U113" si="37">D71+G71+K71+O71+R71+T71</f>
        <v>1695786.6827</v>
      </c>
      <c r="V71" s="31" t="s">
        <v>12</v>
      </c>
      <c r="W71" s="31" t="s">
        <v>129</v>
      </c>
      <c r="X71" s="31"/>
      <c r="Y71" s="494"/>
    </row>
    <row r="72" spans="1:25" ht="69" customHeight="1">
      <c r="A72" s="265" t="s">
        <v>146</v>
      </c>
      <c r="B72" s="31" t="s">
        <v>35</v>
      </c>
      <c r="C72" s="46">
        <v>87783.58</v>
      </c>
      <c r="D72" s="206">
        <v>107807.03</v>
      </c>
      <c r="E72" s="206">
        <f t="shared" ref="E72:E106" si="38">D72-C72</f>
        <v>20023.449999999997</v>
      </c>
      <c r="F72" s="206">
        <v>4172.5</v>
      </c>
      <c r="G72" s="219">
        <v>167317.48965999999</v>
      </c>
      <c r="H72" s="206">
        <f>G72-F72</f>
        <v>163144.98965999999</v>
      </c>
      <c r="I72" s="206">
        <v>4172.5</v>
      </c>
      <c r="J72" s="335">
        <v>32270.560310000001</v>
      </c>
      <c r="K72" s="336">
        <v>46975.17035</v>
      </c>
      <c r="L72" s="336">
        <f t="shared" si="34"/>
        <v>14704.61004</v>
      </c>
      <c r="M72" s="338">
        <f t="shared" si="32"/>
        <v>14704.61004</v>
      </c>
      <c r="N72" s="335">
        <v>0</v>
      </c>
      <c r="O72" s="335">
        <v>134.4</v>
      </c>
      <c r="P72" s="335">
        <f t="shared" si="35"/>
        <v>134.4</v>
      </c>
      <c r="Q72" s="357">
        <v>0</v>
      </c>
      <c r="R72" s="357"/>
      <c r="S72" s="357">
        <f t="shared" si="36"/>
        <v>0</v>
      </c>
      <c r="T72" s="336"/>
      <c r="U72" s="338">
        <f t="shared" si="37"/>
        <v>322234.09001000004</v>
      </c>
      <c r="V72" s="31" t="s">
        <v>12</v>
      </c>
      <c r="W72" s="31" t="s">
        <v>138</v>
      </c>
      <c r="X72" s="31"/>
      <c r="Y72" s="494"/>
    </row>
    <row r="73" spans="1:25" ht="142.5" customHeight="1">
      <c r="A73" s="265" t="s">
        <v>147</v>
      </c>
      <c r="B73" s="31" t="s">
        <v>169</v>
      </c>
      <c r="C73" s="46">
        <v>3000</v>
      </c>
      <c r="D73" s="206">
        <v>3000</v>
      </c>
      <c r="E73" s="206">
        <f t="shared" si="38"/>
        <v>0</v>
      </c>
      <c r="F73" s="206">
        <v>4500</v>
      </c>
      <c r="G73" s="219">
        <v>3600</v>
      </c>
      <c r="H73" s="206">
        <f t="shared" ref="H73:H76" si="39">G73-F73</f>
        <v>-900</v>
      </c>
      <c r="I73" s="206">
        <v>4500</v>
      </c>
      <c r="J73" s="335">
        <v>0</v>
      </c>
      <c r="K73" s="336"/>
      <c r="L73" s="336">
        <f t="shared" si="34"/>
        <v>0</v>
      </c>
      <c r="M73" s="338">
        <f t="shared" si="32"/>
        <v>0</v>
      </c>
      <c r="N73" s="335">
        <v>0</v>
      </c>
      <c r="O73" s="335"/>
      <c r="P73" s="335">
        <f t="shared" si="35"/>
        <v>0</v>
      </c>
      <c r="Q73" s="357">
        <v>0</v>
      </c>
      <c r="R73" s="357"/>
      <c r="S73" s="357">
        <f t="shared" si="36"/>
        <v>0</v>
      </c>
      <c r="T73" s="336"/>
      <c r="U73" s="338">
        <f t="shared" si="37"/>
        <v>6600</v>
      </c>
      <c r="V73" s="31" t="s">
        <v>12</v>
      </c>
      <c r="W73" s="31"/>
      <c r="X73" s="31"/>
      <c r="Y73" s="494"/>
    </row>
    <row r="74" spans="1:25" ht="62.45" customHeight="1">
      <c r="A74" s="265" t="s">
        <v>148</v>
      </c>
      <c r="B74" s="31" t="s">
        <v>170</v>
      </c>
      <c r="C74" s="28">
        <v>14542</v>
      </c>
      <c r="D74" s="206">
        <v>15347.3</v>
      </c>
      <c r="E74" s="206">
        <f t="shared" si="38"/>
        <v>805.29999999999927</v>
      </c>
      <c r="F74" s="206">
        <v>12417.7</v>
      </c>
      <c r="G74" s="219">
        <v>21747.5</v>
      </c>
      <c r="H74" s="206">
        <f t="shared" si="39"/>
        <v>9329.7999999999993</v>
      </c>
      <c r="I74" s="206">
        <v>12417.7</v>
      </c>
      <c r="J74" s="335">
        <v>24787.01</v>
      </c>
      <c r="K74" s="336">
        <v>25917.41</v>
      </c>
      <c r="L74" s="336">
        <f t="shared" si="34"/>
        <v>1130.4000000000015</v>
      </c>
      <c r="M74" s="338">
        <f t="shared" si="32"/>
        <v>1130.4000000000015</v>
      </c>
      <c r="N74" s="335">
        <v>21747.5</v>
      </c>
      <c r="O74" s="335">
        <v>26107.4</v>
      </c>
      <c r="P74" s="335">
        <f t="shared" si="35"/>
        <v>4359.9000000000015</v>
      </c>
      <c r="Q74" s="357">
        <v>21747.5</v>
      </c>
      <c r="R74" s="357">
        <v>26107.4</v>
      </c>
      <c r="S74" s="357">
        <f t="shared" si="36"/>
        <v>4359.9000000000015</v>
      </c>
      <c r="T74" s="336">
        <v>26107.4</v>
      </c>
      <c r="U74" s="338">
        <f t="shared" si="37"/>
        <v>141334.41</v>
      </c>
      <c r="V74" s="31" t="s">
        <v>12</v>
      </c>
      <c r="W74" s="31" t="s">
        <v>139</v>
      </c>
      <c r="X74" s="31"/>
      <c r="Y74" s="494"/>
    </row>
    <row r="75" spans="1:25" ht="116.45" customHeight="1">
      <c r="A75" s="265" t="s">
        <v>149</v>
      </c>
      <c r="B75" s="31" t="s">
        <v>171</v>
      </c>
      <c r="C75" s="46">
        <v>13204.93</v>
      </c>
      <c r="D75" s="206">
        <v>14801.83</v>
      </c>
      <c r="E75" s="206">
        <f t="shared" si="38"/>
        <v>1596.8999999999996</v>
      </c>
      <c r="F75" s="206">
        <f>'не актуально .'!F75</f>
        <v>0</v>
      </c>
      <c r="G75" s="219">
        <v>102885.9071</v>
      </c>
      <c r="H75" s="206">
        <f t="shared" si="39"/>
        <v>102885.9071</v>
      </c>
      <c r="I75" s="206">
        <f>'не актуально .'!I75</f>
        <v>0</v>
      </c>
      <c r="J75" s="335">
        <v>8636.3459000000003</v>
      </c>
      <c r="K75" s="336">
        <v>9237.6859000000004</v>
      </c>
      <c r="L75" s="336">
        <f t="shared" si="34"/>
        <v>601.34000000000015</v>
      </c>
      <c r="M75" s="338">
        <f t="shared" si="32"/>
        <v>601.34000000000015</v>
      </c>
      <c r="N75" s="335">
        <v>0</v>
      </c>
      <c r="O75" s="335">
        <v>0</v>
      </c>
      <c r="P75" s="335">
        <f t="shared" si="35"/>
        <v>0</v>
      </c>
      <c r="Q75" s="357"/>
      <c r="R75" s="357">
        <v>0</v>
      </c>
      <c r="S75" s="357">
        <f t="shared" si="36"/>
        <v>0</v>
      </c>
      <c r="T75" s="336">
        <v>0</v>
      </c>
      <c r="U75" s="338">
        <f t="shared" si="37"/>
        <v>126925.423</v>
      </c>
      <c r="V75" s="31" t="s">
        <v>12</v>
      </c>
      <c r="W75" s="31" t="s">
        <v>140</v>
      </c>
      <c r="X75" s="31"/>
      <c r="Y75" s="494"/>
    </row>
    <row r="76" spans="1:25" ht="36" customHeight="1">
      <c r="A76" s="486" t="s">
        <v>150</v>
      </c>
      <c r="B76" s="490" t="s">
        <v>183</v>
      </c>
      <c r="C76" s="46">
        <v>100</v>
      </c>
      <c r="D76" s="206">
        <v>100</v>
      </c>
      <c r="E76" s="206">
        <f t="shared" si="38"/>
        <v>0</v>
      </c>
      <c r="F76" s="206">
        <v>100</v>
      </c>
      <c r="G76" s="219">
        <v>1921.5</v>
      </c>
      <c r="H76" s="206">
        <f t="shared" si="39"/>
        <v>1821.5</v>
      </c>
      <c r="I76" s="206">
        <v>100</v>
      </c>
      <c r="J76" s="335">
        <v>2101.35</v>
      </c>
      <c r="K76" s="336">
        <v>2709.723</v>
      </c>
      <c r="L76" s="336">
        <f t="shared" si="34"/>
        <v>608.37300000000005</v>
      </c>
      <c r="M76" s="338">
        <f t="shared" si="32"/>
        <v>608.37300000000005</v>
      </c>
      <c r="N76" s="335">
        <v>5</v>
      </c>
      <c r="O76" s="335"/>
      <c r="P76" s="335">
        <f t="shared" si="35"/>
        <v>-5</v>
      </c>
      <c r="Q76" s="357">
        <v>5</v>
      </c>
      <c r="R76" s="357"/>
      <c r="S76" s="357">
        <f t="shared" si="36"/>
        <v>-5</v>
      </c>
      <c r="T76" s="336"/>
      <c r="U76" s="338">
        <f t="shared" si="37"/>
        <v>4731.223</v>
      </c>
      <c r="V76" s="31" t="s">
        <v>12</v>
      </c>
      <c r="W76" s="31"/>
      <c r="X76" s="31"/>
      <c r="Y76" s="494"/>
    </row>
    <row r="77" spans="1:25" ht="75.599999999999994" customHeight="1">
      <c r="A77" s="487"/>
      <c r="B77" s="490"/>
      <c r="C77" s="46">
        <v>2355</v>
      </c>
      <c r="D77" s="206">
        <v>2745</v>
      </c>
      <c r="E77" s="206">
        <f t="shared" si="38"/>
        <v>390</v>
      </c>
      <c r="F77" s="206">
        <v>2355</v>
      </c>
      <c r="G77" s="219">
        <v>4689.8999999999996</v>
      </c>
      <c r="H77" s="206">
        <f>G77-F77</f>
        <v>2334.8999999999996</v>
      </c>
      <c r="I77" s="206">
        <v>2355</v>
      </c>
      <c r="J77" s="335">
        <v>4643.25</v>
      </c>
      <c r="K77" s="336">
        <v>4643.25</v>
      </c>
      <c r="L77" s="336">
        <f t="shared" si="34"/>
        <v>0</v>
      </c>
      <c r="M77" s="338">
        <f t="shared" si="32"/>
        <v>0</v>
      </c>
      <c r="N77" s="335">
        <v>4643.25</v>
      </c>
      <c r="O77" s="335">
        <v>0</v>
      </c>
      <c r="P77" s="335">
        <f t="shared" si="35"/>
        <v>-4643.25</v>
      </c>
      <c r="Q77" s="357">
        <v>4643.25</v>
      </c>
      <c r="R77" s="357"/>
      <c r="S77" s="357">
        <f t="shared" si="36"/>
        <v>-4643.25</v>
      </c>
      <c r="T77" s="336"/>
      <c r="U77" s="338">
        <f t="shared" si="37"/>
        <v>12078.15</v>
      </c>
      <c r="V77" s="31" t="s">
        <v>8</v>
      </c>
      <c r="W77" s="31" t="s">
        <v>141</v>
      </c>
      <c r="X77" s="31"/>
      <c r="Y77" s="494"/>
    </row>
    <row r="78" spans="1:25" ht="75.599999999999994" customHeight="1">
      <c r="A78" s="294"/>
      <c r="B78" s="31"/>
      <c r="C78" s="46"/>
      <c r="D78" s="206"/>
      <c r="E78" s="206"/>
      <c r="F78" s="206"/>
      <c r="G78" s="219"/>
      <c r="H78" s="206"/>
      <c r="I78" s="206"/>
      <c r="J78" s="335">
        <f>J76+J77</f>
        <v>6744.6</v>
      </c>
      <c r="K78" s="335">
        <f t="shared" ref="K78:L78" si="40">K76+K77</f>
        <v>7352.973</v>
      </c>
      <c r="L78" s="335">
        <f t="shared" si="40"/>
        <v>608.37300000000005</v>
      </c>
      <c r="M78" s="338"/>
      <c r="N78" s="335"/>
      <c r="O78" s="335"/>
      <c r="P78" s="335">
        <f t="shared" si="35"/>
        <v>0</v>
      </c>
      <c r="Q78" s="357"/>
      <c r="R78" s="357"/>
      <c r="S78" s="357">
        <f t="shared" si="36"/>
        <v>0</v>
      </c>
      <c r="T78" s="336"/>
      <c r="U78" s="338"/>
      <c r="V78" s="31"/>
      <c r="W78" s="31"/>
      <c r="X78" s="31"/>
      <c r="Y78" s="494"/>
    </row>
    <row r="79" spans="1:25" ht="37.5" customHeight="1">
      <c r="A79" s="486" t="s">
        <v>151</v>
      </c>
      <c r="B79" s="490" t="s">
        <v>172</v>
      </c>
      <c r="C79" s="46">
        <v>352.2</v>
      </c>
      <c r="D79" s="206">
        <v>352.2</v>
      </c>
      <c r="E79" s="206">
        <f t="shared" si="38"/>
        <v>0</v>
      </c>
      <c r="F79" s="206">
        <v>352.2</v>
      </c>
      <c r="G79" s="219">
        <v>352.2</v>
      </c>
      <c r="H79" s="206">
        <f t="shared" ref="H79:H100" si="41">G79-F79</f>
        <v>0</v>
      </c>
      <c r="I79" s="206">
        <v>352.2</v>
      </c>
      <c r="J79" s="335">
        <v>831.4</v>
      </c>
      <c r="K79" s="336">
        <v>831.50418000000002</v>
      </c>
      <c r="L79" s="336">
        <f>K79-J79</f>
        <v>0.10418000000004213</v>
      </c>
      <c r="M79" s="338">
        <f>K79-J79</f>
        <v>0.10418000000004213</v>
      </c>
      <c r="N79" s="335">
        <f>J79</f>
        <v>831.4</v>
      </c>
      <c r="O79" s="335">
        <v>2487.6999999999998</v>
      </c>
      <c r="P79" s="335">
        <f t="shared" si="35"/>
        <v>1656.2999999999997</v>
      </c>
      <c r="Q79" s="357">
        <f>N79</f>
        <v>831.4</v>
      </c>
      <c r="R79" s="357">
        <v>2487.6999999999998</v>
      </c>
      <c r="S79" s="357">
        <f t="shared" si="36"/>
        <v>1656.2999999999997</v>
      </c>
      <c r="T79" s="336">
        <v>2487.6999999999998</v>
      </c>
      <c r="U79" s="338">
        <f t="shared" si="37"/>
        <v>8999.0041799999999</v>
      </c>
      <c r="V79" s="31" t="s">
        <v>12</v>
      </c>
      <c r="W79" s="31"/>
      <c r="X79" s="31"/>
      <c r="Y79" s="494"/>
    </row>
    <row r="80" spans="1:25" ht="76.150000000000006" customHeight="1">
      <c r="A80" s="487"/>
      <c r="B80" s="490"/>
      <c r="C80" s="46">
        <v>1761</v>
      </c>
      <c r="D80" s="206">
        <v>1761</v>
      </c>
      <c r="E80" s="206">
        <f t="shared" si="38"/>
        <v>0</v>
      </c>
      <c r="F80" s="206">
        <v>1761</v>
      </c>
      <c r="G80" s="219">
        <v>1804</v>
      </c>
      <c r="H80" s="206">
        <f t="shared" si="41"/>
        <v>43</v>
      </c>
      <c r="I80" s="206">
        <v>1761</v>
      </c>
      <c r="J80" s="335">
        <v>2485.4499999999998</v>
      </c>
      <c r="K80" s="336">
        <v>2485.4499999999998</v>
      </c>
      <c r="L80" s="336">
        <f t="shared" si="34"/>
        <v>0</v>
      </c>
      <c r="M80" s="338">
        <f>K80-J80</f>
        <v>0</v>
      </c>
      <c r="N80" s="335">
        <v>2485.4499999999998</v>
      </c>
      <c r="O80" s="335"/>
      <c r="P80" s="335">
        <f t="shared" si="35"/>
        <v>-2485.4499999999998</v>
      </c>
      <c r="Q80" s="357">
        <v>2485.4499999999998</v>
      </c>
      <c r="R80" s="357"/>
      <c r="S80" s="357">
        <f t="shared" si="36"/>
        <v>-2485.4499999999998</v>
      </c>
      <c r="T80" s="336"/>
      <c r="U80" s="338">
        <f t="shared" si="37"/>
        <v>6050.45</v>
      </c>
      <c r="V80" s="31" t="s">
        <v>8</v>
      </c>
      <c r="W80" s="31"/>
      <c r="X80" s="31"/>
      <c r="Y80" s="494"/>
    </row>
    <row r="81" spans="1:25" ht="76.150000000000006" customHeight="1">
      <c r="A81" s="294"/>
      <c r="B81" s="31"/>
      <c r="C81" s="46"/>
      <c r="D81" s="206"/>
      <c r="E81" s="206"/>
      <c r="F81" s="206"/>
      <c r="G81" s="219"/>
      <c r="H81" s="206"/>
      <c r="I81" s="206"/>
      <c r="J81" s="335">
        <f>J79+J80</f>
        <v>3316.85</v>
      </c>
      <c r="K81" s="335">
        <f>K79+K80</f>
        <v>3316.9541799999997</v>
      </c>
      <c r="L81" s="336">
        <f t="shared" si="34"/>
        <v>0.10417999999981475</v>
      </c>
      <c r="M81" s="338"/>
      <c r="N81" s="335">
        <f>N79+N80</f>
        <v>3316.85</v>
      </c>
      <c r="O81" s="335">
        <f t="shared" ref="O81:P81" si="42">O79+O80</f>
        <v>2487.6999999999998</v>
      </c>
      <c r="P81" s="335">
        <f t="shared" si="42"/>
        <v>-829.15000000000009</v>
      </c>
      <c r="Q81" s="357">
        <f>Q79+Q80</f>
        <v>3316.85</v>
      </c>
      <c r="R81" s="357">
        <f t="shared" ref="R81:S81" si="43">R79+R80</f>
        <v>2487.6999999999998</v>
      </c>
      <c r="S81" s="357">
        <f t="shared" si="43"/>
        <v>-829.15000000000009</v>
      </c>
      <c r="T81" s="336"/>
      <c r="U81" s="338"/>
      <c r="V81" s="31"/>
      <c r="W81" s="31"/>
      <c r="X81" s="31"/>
      <c r="Y81" s="494"/>
    </row>
    <row r="82" spans="1:25" ht="47.25" customHeight="1">
      <c r="A82" s="486" t="s">
        <v>152</v>
      </c>
      <c r="B82" s="490" t="s">
        <v>158</v>
      </c>
      <c r="C82" s="46">
        <v>117.4</v>
      </c>
      <c r="D82" s="206">
        <v>117.4</v>
      </c>
      <c r="E82" s="206">
        <f t="shared" si="38"/>
        <v>0</v>
      </c>
      <c r="F82" s="206">
        <v>117.4</v>
      </c>
      <c r="G82" s="219">
        <v>117.4</v>
      </c>
      <c r="H82" s="206">
        <f t="shared" si="41"/>
        <v>0</v>
      </c>
      <c r="I82" s="206">
        <v>117.4</v>
      </c>
      <c r="J82" s="335">
        <v>69.150000000000006</v>
      </c>
      <c r="K82" s="336">
        <v>0.65031000000000005</v>
      </c>
      <c r="L82" s="336">
        <f>K82-J82</f>
        <v>-68.499690000000001</v>
      </c>
      <c r="M82" s="338">
        <f>K82-J82</f>
        <v>-68.499690000000001</v>
      </c>
      <c r="N82" s="335">
        <v>69.150000000000006</v>
      </c>
      <c r="O82" s="335">
        <v>208.2</v>
      </c>
      <c r="P82" s="335">
        <f t="shared" si="35"/>
        <v>139.04999999999998</v>
      </c>
      <c r="Q82" s="357">
        <v>69.150000000000006</v>
      </c>
      <c r="R82" s="357">
        <v>208.2</v>
      </c>
      <c r="S82" s="357">
        <f t="shared" si="36"/>
        <v>139.04999999999998</v>
      </c>
      <c r="T82" s="336">
        <v>208.2</v>
      </c>
      <c r="U82" s="338">
        <f t="shared" si="37"/>
        <v>860.05031000000008</v>
      </c>
      <c r="V82" s="31" t="s">
        <v>12</v>
      </c>
      <c r="W82" s="31"/>
      <c r="X82" s="31"/>
      <c r="Y82" s="494"/>
    </row>
    <row r="83" spans="1:25" ht="84.75" customHeight="1">
      <c r="A83" s="487"/>
      <c r="B83" s="491"/>
      <c r="C83" s="46">
        <v>528.29999999999995</v>
      </c>
      <c r="D83" s="206">
        <v>528.29999999999995</v>
      </c>
      <c r="E83" s="206">
        <f t="shared" si="38"/>
        <v>0</v>
      </c>
      <c r="F83" s="206">
        <v>528.29999999999995</v>
      </c>
      <c r="G83" s="219">
        <v>631.4</v>
      </c>
      <c r="H83" s="206">
        <f t="shared" si="41"/>
        <v>103.10000000000002</v>
      </c>
      <c r="I83" s="206">
        <v>528.29999999999995</v>
      </c>
      <c r="J83" s="335">
        <v>207.12</v>
      </c>
      <c r="K83" s="336">
        <v>207.12</v>
      </c>
      <c r="L83" s="336">
        <f t="shared" si="34"/>
        <v>0</v>
      </c>
      <c r="M83" s="338">
        <f>K83-J83</f>
        <v>0</v>
      </c>
      <c r="N83" s="335">
        <v>207.12</v>
      </c>
      <c r="O83" s="335"/>
      <c r="P83" s="335">
        <f t="shared" si="35"/>
        <v>-207.12</v>
      </c>
      <c r="Q83" s="357">
        <v>207.12</v>
      </c>
      <c r="R83" s="357"/>
      <c r="S83" s="357">
        <f t="shared" si="36"/>
        <v>-207.12</v>
      </c>
      <c r="T83" s="336"/>
      <c r="U83" s="338">
        <f t="shared" si="37"/>
        <v>1366.8199999999997</v>
      </c>
      <c r="V83" s="31" t="s">
        <v>8</v>
      </c>
      <c r="W83" s="31"/>
      <c r="X83" s="31"/>
      <c r="Y83" s="494"/>
    </row>
    <row r="84" spans="1:25" ht="84.75" customHeight="1">
      <c r="A84" s="294"/>
      <c r="B84" s="331"/>
      <c r="C84" s="46"/>
      <c r="D84" s="206"/>
      <c r="E84" s="206"/>
      <c r="F84" s="206"/>
      <c r="G84" s="219"/>
      <c r="H84" s="206"/>
      <c r="I84" s="206"/>
      <c r="J84" s="335">
        <f>J82+J83</f>
        <v>276.27</v>
      </c>
      <c r="K84" s="335">
        <f t="shared" ref="K84:L84" si="44">K82+K83</f>
        <v>207.77030999999999</v>
      </c>
      <c r="L84" s="335">
        <f t="shared" si="44"/>
        <v>-68.499690000000001</v>
      </c>
      <c r="M84" s="338"/>
      <c r="N84" s="335">
        <f>N82+N83</f>
        <v>276.27</v>
      </c>
      <c r="O84" s="335">
        <f t="shared" ref="O84:P84" si="45">O82+O83</f>
        <v>208.2</v>
      </c>
      <c r="P84" s="335">
        <f t="shared" si="45"/>
        <v>-68.070000000000022</v>
      </c>
      <c r="Q84" s="357">
        <f>Q82+Q83</f>
        <v>276.27</v>
      </c>
      <c r="R84" s="357">
        <f t="shared" ref="R84:S84" si="46">R82+R83</f>
        <v>208.2</v>
      </c>
      <c r="S84" s="357">
        <f t="shared" si="46"/>
        <v>-68.070000000000022</v>
      </c>
      <c r="T84" s="336"/>
      <c r="U84" s="338"/>
      <c r="V84" s="31"/>
      <c r="W84" s="31"/>
      <c r="X84" s="31"/>
      <c r="Y84" s="494"/>
    </row>
    <row r="85" spans="1:25" ht="47.25" customHeight="1">
      <c r="A85" s="486" t="s">
        <v>153</v>
      </c>
      <c r="B85" s="490" t="s">
        <v>167</v>
      </c>
      <c r="C85" s="46">
        <v>293.5</v>
      </c>
      <c r="D85" s="206">
        <v>293.5</v>
      </c>
      <c r="E85" s="206">
        <f t="shared" si="38"/>
        <v>0</v>
      </c>
      <c r="F85" s="206">
        <v>293.5</v>
      </c>
      <c r="G85" s="219">
        <v>293.5</v>
      </c>
      <c r="H85" s="206">
        <f t="shared" si="41"/>
        <v>0</v>
      </c>
      <c r="I85" s="206">
        <v>293.5</v>
      </c>
      <c r="J85" s="335">
        <v>276.55</v>
      </c>
      <c r="K85" s="336">
        <v>276.66762</v>
      </c>
      <c r="L85" s="336">
        <f t="shared" si="34"/>
        <v>0.11761999999998807</v>
      </c>
      <c r="M85" s="338">
        <f>K85-J85</f>
        <v>0.11761999999998807</v>
      </c>
      <c r="N85" s="335">
        <v>276.55</v>
      </c>
      <c r="O85" s="335">
        <v>829.2</v>
      </c>
      <c r="P85" s="335">
        <f t="shared" si="35"/>
        <v>552.65000000000009</v>
      </c>
      <c r="Q85" s="357">
        <v>276.55</v>
      </c>
      <c r="R85" s="357">
        <v>829.2</v>
      </c>
      <c r="S85" s="357">
        <f t="shared" si="36"/>
        <v>552.65000000000009</v>
      </c>
      <c r="T85" s="336">
        <v>829.2</v>
      </c>
      <c r="U85" s="338">
        <f t="shared" si="37"/>
        <v>3351.2676199999996</v>
      </c>
      <c r="V85" s="31" t="s">
        <v>12</v>
      </c>
      <c r="W85" s="31"/>
      <c r="X85" s="31"/>
      <c r="Y85" s="494"/>
    </row>
    <row r="86" spans="1:25" ht="62.25" customHeight="1">
      <c r="A86" s="487"/>
      <c r="B86" s="491"/>
      <c r="C86" s="46">
        <v>880.5</v>
      </c>
      <c r="D86" s="206">
        <v>880.5</v>
      </c>
      <c r="E86" s="206">
        <f t="shared" si="38"/>
        <v>0</v>
      </c>
      <c r="F86" s="206">
        <v>880.5</v>
      </c>
      <c r="G86" s="219">
        <v>902</v>
      </c>
      <c r="H86" s="206">
        <f t="shared" si="41"/>
        <v>21.5</v>
      </c>
      <c r="I86" s="206">
        <v>880.5</v>
      </c>
      <c r="J86" s="335">
        <v>828.48</v>
      </c>
      <c r="K86" s="336">
        <v>828.48</v>
      </c>
      <c r="L86" s="336">
        <f t="shared" si="34"/>
        <v>0</v>
      </c>
      <c r="M86" s="338">
        <f>K86-J86</f>
        <v>0</v>
      </c>
      <c r="N86" s="335">
        <v>828.48</v>
      </c>
      <c r="O86" s="335"/>
      <c r="P86" s="335">
        <f t="shared" si="35"/>
        <v>-828.48</v>
      </c>
      <c r="Q86" s="357">
        <v>828.48</v>
      </c>
      <c r="R86" s="357"/>
      <c r="S86" s="357">
        <f t="shared" si="36"/>
        <v>-828.48</v>
      </c>
      <c r="T86" s="336"/>
      <c r="U86" s="338">
        <f t="shared" si="37"/>
        <v>2610.98</v>
      </c>
      <c r="V86" s="31" t="s">
        <v>8</v>
      </c>
      <c r="W86" s="31"/>
      <c r="X86" s="31"/>
      <c r="Y86" s="494"/>
    </row>
    <row r="87" spans="1:25" ht="62.25" customHeight="1">
      <c r="A87" s="294"/>
      <c r="B87" s="331"/>
      <c r="C87" s="46"/>
      <c r="D87" s="206"/>
      <c r="E87" s="206"/>
      <c r="F87" s="206"/>
      <c r="G87" s="219"/>
      <c r="H87" s="206"/>
      <c r="I87" s="206"/>
      <c r="J87" s="335">
        <f>J85+J86</f>
        <v>1105.03</v>
      </c>
      <c r="K87" s="335">
        <f t="shared" ref="K87" si="47">K85+K86</f>
        <v>1105.14762</v>
      </c>
      <c r="L87" s="335">
        <f>L85+L86</f>
        <v>0.11761999999998807</v>
      </c>
      <c r="M87" s="335">
        <f t="shared" ref="M87:S87" si="48">M85+M86</f>
        <v>0.11761999999998807</v>
      </c>
      <c r="N87" s="335">
        <f t="shared" si="48"/>
        <v>1105.03</v>
      </c>
      <c r="O87" s="335">
        <f t="shared" si="48"/>
        <v>829.2</v>
      </c>
      <c r="P87" s="335">
        <f t="shared" si="48"/>
        <v>-275.82999999999993</v>
      </c>
      <c r="Q87" s="335">
        <f t="shared" si="48"/>
        <v>1105.03</v>
      </c>
      <c r="R87" s="335">
        <f t="shared" si="48"/>
        <v>829.2</v>
      </c>
      <c r="S87" s="335">
        <f t="shared" si="48"/>
        <v>-275.82999999999993</v>
      </c>
      <c r="T87" s="336"/>
      <c r="U87" s="338"/>
      <c r="V87" s="31"/>
      <c r="W87" s="31"/>
      <c r="X87" s="31"/>
      <c r="Y87" s="494"/>
    </row>
    <row r="88" spans="1:25" ht="75.599999999999994" customHeight="1">
      <c r="A88" s="486" t="s">
        <v>154</v>
      </c>
      <c r="B88" s="490" t="s">
        <v>173</v>
      </c>
      <c r="C88" s="46">
        <v>234.8</v>
      </c>
      <c r="D88" s="206">
        <v>234.8</v>
      </c>
      <c r="E88" s="206">
        <f t="shared" si="38"/>
        <v>0</v>
      </c>
      <c r="F88" s="206">
        <v>234.8</v>
      </c>
      <c r="G88" s="219">
        <v>234.8</v>
      </c>
      <c r="H88" s="206">
        <f t="shared" si="41"/>
        <v>0</v>
      </c>
      <c r="I88" s="206">
        <v>234.8</v>
      </c>
      <c r="J88" s="335">
        <v>414.55</v>
      </c>
      <c r="K88" s="336">
        <v>414.55</v>
      </c>
      <c r="L88" s="336">
        <f t="shared" si="34"/>
        <v>0</v>
      </c>
      <c r="M88" s="338">
        <f>K88-J88</f>
        <v>0</v>
      </c>
      <c r="N88" s="335">
        <v>414.55</v>
      </c>
      <c r="O88" s="335">
        <v>1243.9000000000001</v>
      </c>
      <c r="P88" s="335">
        <f t="shared" si="35"/>
        <v>829.35000000000014</v>
      </c>
      <c r="Q88" s="357">
        <v>414.55</v>
      </c>
      <c r="R88" s="357">
        <v>1243.9000000000001</v>
      </c>
      <c r="S88" s="357">
        <f t="shared" si="36"/>
        <v>829.35000000000014</v>
      </c>
      <c r="T88" s="336">
        <v>1243.9000000000001</v>
      </c>
      <c r="U88" s="338">
        <f t="shared" si="37"/>
        <v>4615.8500000000004</v>
      </c>
      <c r="V88" s="31" t="s">
        <v>12</v>
      </c>
      <c r="W88" s="31"/>
      <c r="X88" s="31"/>
      <c r="Y88" s="494"/>
    </row>
    <row r="89" spans="1:25" ht="63.6" customHeight="1">
      <c r="A89" s="487"/>
      <c r="B89" s="490"/>
      <c r="C89" s="46">
        <v>1584.9</v>
      </c>
      <c r="D89" s="206">
        <v>1584.9</v>
      </c>
      <c r="E89" s="206">
        <f t="shared" si="38"/>
        <v>0</v>
      </c>
      <c r="F89" s="206">
        <v>1584.9</v>
      </c>
      <c r="G89" s="219">
        <v>721.6</v>
      </c>
      <c r="H89" s="206">
        <f t="shared" si="41"/>
        <v>-863.30000000000007</v>
      </c>
      <c r="I89" s="206">
        <v>1584.9</v>
      </c>
      <c r="J89" s="335">
        <v>1242.73</v>
      </c>
      <c r="K89" s="336">
        <v>1242.73</v>
      </c>
      <c r="L89" s="336">
        <f t="shared" si="34"/>
        <v>0</v>
      </c>
      <c r="M89" s="338">
        <f>K89-J89</f>
        <v>0</v>
      </c>
      <c r="N89" s="335">
        <v>1242.73</v>
      </c>
      <c r="O89" s="335"/>
      <c r="P89" s="335">
        <f t="shared" si="35"/>
        <v>-1242.73</v>
      </c>
      <c r="Q89" s="357">
        <v>1242.73</v>
      </c>
      <c r="R89" s="357"/>
      <c r="S89" s="357">
        <f t="shared" si="36"/>
        <v>-1242.73</v>
      </c>
      <c r="T89" s="336"/>
      <c r="U89" s="338">
        <f t="shared" si="37"/>
        <v>3549.23</v>
      </c>
      <c r="V89" s="31" t="s">
        <v>8</v>
      </c>
      <c r="W89" s="31"/>
      <c r="X89" s="31"/>
      <c r="Y89" s="494"/>
    </row>
    <row r="90" spans="1:25" ht="63.6" customHeight="1">
      <c r="A90" s="294"/>
      <c r="B90" s="31"/>
      <c r="C90" s="46"/>
      <c r="D90" s="206"/>
      <c r="E90" s="206"/>
      <c r="F90" s="206"/>
      <c r="G90" s="219"/>
      <c r="H90" s="206"/>
      <c r="I90" s="206"/>
      <c r="J90" s="335">
        <f>J88+J89</f>
        <v>1657.28</v>
      </c>
      <c r="K90" s="335">
        <f t="shared" ref="K90:L90" si="49">K88+K89</f>
        <v>1657.28</v>
      </c>
      <c r="L90" s="335">
        <f t="shared" si="49"/>
        <v>0</v>
      </c>
      <c r="M90" s="338"/>
      <c r="N90" s="335">
        <f>N89+N88</f>
        <v>1657.28</v>
      </c>
      <c r="O90" s="335">
        <f t="shared" ref="O90:P90" si="50">O89+O88</f>
        <v>1243.9000000000001</v>
      </c>
      <c r="P90" s="335">
        <f t="shared" si="50"/>
        <v>-413.37999999999988</v>
      </c>
      <c r="Q90" s="357"/>
      <c r="R90" s="357"/>
      <c r="S90" s="357">
        <f t="shared" si="36"/>
        <v>0</v>
      </c>
      <c r="T90" s="336"/>
      <c r="U90" s="338"/>
      <c r="V90" s="31"/>
      <c r="W90" s="31"/>
      <c r="X90" s="31"/>
      <c r="Y90" s="494"/>
    </row>
    <row r="91" spans="1:25" ht="57" customHeight="1">
      <c r="A91" s="486" t="s">
        <v>155</v>
      </c>
      <c r="B91" s="490" t="s">
        <v>174</v>
      </c>
      <c r="C91" s="46">
        <v>10</v>
      </c>
      <c r="D91" s="206">
        <v>10</v>
      </c>
      <c r="E91" s="206">
        <f t="shared" si="38"/>
        <v>0</v>
      </c>
      <c r="F91" s="206">
        <v>10</v>
      </c>
      <c r="G91" s="219">
        <v>16.5</v>
      </c>
      <c r="H91" s="206">
        <f t="shared" si="41"/>
        <v>6.5</v>
      </c>
      <c r="I91" s="206">
        <v>10</v>
      </c>
      <c r="J91" s="335">
        <v>154.30000000000001</v>
      </c>
      <c r="K91" s="336">
        <v>154.45291</v>
      </c>
      <c r="L91" s="336">
        <f t="shared" si="34"/>
        <v>0.15290999999999144</v>
      </c>
      <c r="M91" s="338">
        <f>K91-J91</f>
        <v>0.15290999999999144</v>
      </c>
      <c r="N91" s="335">
        <v>304.3</v>
      </c>
      <c r="O91" s="335">
        <v>151.9</v>
      </c>
      <c r="P91" s="335">
        <f t="shared" si="35"/>
        <v>-152.4</v>
      </c>
      <c r="Q91" s="357">
        <v>304.3</v>
      </c>
      <c r="R91" s="357">
        <v>151.9</v>
      </c>
      <c r="S91" s="357">
        <f t="shared" si="36"/>
        <v>-152.4</v>
      </c>
      <c r="T91" s="336">
        <v>151.9</v>
      </c>
      <c r="U91" s="338">
        <f t="shared" si="37"/>
        <v>636.65291000000002</v>
      </c>
      <c r="V91" s="31" t="s">
        <v>12</v>
      </c>
      <c r="W91" s="31"/>
      <c r="X91" s="31"/>
      <c r="Y91" s="494"/>
    </row>
    <row r="92" spans="1:25" ht="53.45" customHeight="1">
      <c r="A92" s="487"/>
      <c r="B92" s="492"/>
      <c r="C92" s="46">
        <v>322.60000000000002</v>
      </c>
      <c r="D92" s="206">
        <v>322.60000000000002</v>
      </c>
      <c r="E92" s="206">
        <f t="shared" si="38"/>
        <v>0</v>
      </c>
      <c r="F92" s="206">
        <v>322.60000000000002</v>
      </c>
      <c r="G92" s="219">
        <v>912.8</v>
      </c>
      <c r="H92" s="206">
        <f t="shared" si="41"/>
        <v>590.19999999999993</v>
      </c>
      <c r="I92" s="206">
        <v>322.60000000000002</v>
      </c>
      <c r="J92" s="335">
        <v>455.04</v>
      </c>
      <c r="K92" s="336">
        <v>455.04</v>
      </c>
      <c r="L92" s="336">
        <f t="shared" si="34"/>
        <v>0</v>
      </c>
      <c r="M92" s="338">
        <f>K92-J92</f>
        <v>0</v>
      </c>
      <c r="N92" s="335">
        <v>912.8</v>
      </c>
      <c r="O92" s="335">
        <v>455.72</v>
      </c>
      <c r="P92" s="335">
        <f t="shared" si="35"/>
        <v>-457.07999999999993</v>
      </c>
      <c r="Q92" s="357">
        <v>912.8</v>
      </c>
      <c r="R92" s="357">
        <v>455.72</v>
      </c>
      <c r="S92" s="357">
        <f t="shared" si="36"/>
        <v>-457.07999999999993</v>
      </c>
      <c r="T92" s="336">
        <v>455.72</v>
      </c>
      <c r="U92" s="338">
        <f t="shared" si="37"/>
        <v>3057.6000000000004</v>
      </c>
      <c r="V92" s="31" t="s">
        <v>62</v>
      </c>
      <c r="W92" s="31"/>
      <c r="X92" s="31"/>
      <c r="Y92" s="494"/>
    </row>
    <row r="93" spans="1:25" ht="53.45" customHeight="1">
      <c r="A93" s="294"/>
      <c r="B93" s="266"/>
      <c r="C93" s="46"/>
      <c r="D93" s="206"/>
      <c r="E93" s="206"/>
      <c r="F93" s="206"/>
      <c r="G93" s="219"/>
      <c r="H93" s="206"/>
      <c r="I93" s="206"/>
      <c r="J93" s="335">
        <f>J91+J92</f>
        <v>609.34</v>
      </c>
      <c r="K93" s="335">
        <f t="shared" ref="K93:P93" si="51">K91+K92</f>
        <v>609.49291000000005</v>
      </c>
      <c r="L93" s="335">
        <f t="shared" si="51"/>
        <v>0.15290999999999144</v>
      </c>
      <c r="M93" s="335">
        <f t="shared" si="51"/>
        <v>0.15290999999999144</v>
      </c>
      <c r="N93" s="335">
        <f>N91+N92</f>
        <v>1217.0999999999999</v>
      </c>
      <c r="O93" s="335">
        <f t="shared" si="51"/>
        <v>607.62</v>
      </c>
      <c r="P93" s="335">
        <f t="shared" si="51"/>
        <v>-609.4799999999999</v>
      </c>
      <c r="Q93" s="357"/>
      <c r="R93" s="357"/>
      <c r="S93" s="357">
        <f t="shared" si="36"/>
        <v>0</v>
      </c>
      <c r="T93" s="336"/>
      <c r="U93" s="338"/>
      <c r="V93" s="31"/>
      <c r="W93" s="31"/>
      <c r="X93" s="31"/>
      <c r="Y93" s="494"/>
    </row>
    <row r="94" spans="1:25" ht="47.25" customHeight="1">
      <c r="A94" s="486" t="s">
        <v>156</v>
      </c>
      <c r="B94" s="490" t="s">
        <v>175</v>
      </c>
      <c r="C94" s="46">
        <v>23</v>
      </c>
      <c r="D94" s="206">
        <v>23</v>
      </c>
      <c r="E94" s="206">
        <f t="shared" si="38"/>
        <v>0</v>
      </c>
      <c r="F94" s="206"/>
      <c r="G94" s="219">
        <v>4</v>
      </c>
      <c r="H94" s="206">
        <f t="shared" si="41"/>
        <v>4</v>
      </c>
      <c r="I94" s="206"/>
      <c r="J94" s="335">
        <v>0.1</v>
      </c>
      <c r="K94" s="336">
        <v>0.1</v>
      </c>
      <c r="L94" s="336">
        <f>K94-J94</f>
        <v>0</v>
      </c>
      <c r="M94" s="338">
        <f>K94-J94</f>
        <v>0</v>
      </c>
      <c r="N94" s="335">
        <v>0.1</v>
      </c>
      <c r="O94" s="335">
        <v>0</v>
      </c>
      <c r="P94" s="335">
        <f t="shared" si="35"/>
        <v>-0.1</v>
      </c>
      <c r="Q94" s="357">
        <v>0.1</v>
      </c>
      <c r="R94" s="357">
        <v>0</v>
      </c>
      <c r="S94" s="357">
        <f t="shared" si="36"/>
        <v>-0.1</v>
      </c>
      <c r="T94" s="336">
        <v>0</v>
      </c>
      <c r="U94" s="338">
        <f t="shared" si="37"/>
        <v>27.1</v>
      </c>
      <c r="V94" s="31" t="s">
        <v>117</v>
      </c>
      <c r="W94" s="31"/>
      <c r="X94" s="31"/>
      <c r="Y94" s="494"/>
    </row>
    <row r="95" spans="1:25" ht="124.15" customHeight="1">
      <c r="A95" s="487"/>
      <c r="B95" s="492"/>
      <c r="C95" s="46">
        <v>70</v>
      </c>
      <c r="D95" s="206">
        <v>70</v>
      </c>
      <c r="E95" s="206">
        <f t="shared" si="38"/>
        <v>0</v>
      </c>
      <c r="F95" s="206">
        <v>70</v>
      </c>
      <c r="G95" s="219">
        <v>60</v>
      </c>
      <c r="H95" s="206">
        <f t="shared" si="41"/>
        <v>-10</v>
      </c>
      <c r="I95" s="206">
        <v>70</v>
      </c>
      <c r="J95" s="335">
        <v>70</v>
      </c>
      <c r="K95" s="336">
        <v>47.74221</v>
      </c>
      <c r="L95" s="336">
        <f t="shared" si="34"/>
        <v>-22.25779</v>
      </c>
      <c r="M95" s="338">
        <f>K95-J95</f>
        <v>-22.25779</v>
      </c>
      <c r="N95" s="335">
        <v>70</v>
      </c>
      <c r="O95" s="335">
        <v>0</v>
      </c>
      <c r="P95" s="335">
        <f t="shared" si="35"/>
        <v>-70</v>
      </c>
      <c r="Q95" s="357">
        <v>70</v>
      </c>
      <c r="R95" s="357">
        <v>0</v>
      </c>
      <c r="S95" s="357">
        <f t="shared" si="36"/>
        <v>-70</v>
      </c>
      <c r="T95" s="336">
        <v>0</v>
      </c>
      <c r="U95" s="338">
        <f t="shared" si="37"/>
        <v>177.74221</v>
      </c>
      <c r="V95" s="31" t="s">
        <v>62</v>
      </c>
      <c r="W95" s="31"/>
      <c r="X95" s="31"/>
      <c r="Y95" s="494"/>
    </row>
    <row r="96" spans="1:25" ht="124.15" customHeight="1">
      <c r="A96" s="294"/>
      <c r="B96" s="266"/>
      <c r="C96" s="46"/>
      <c r="D96" s="206"/>
      <c r="E96" s="206"/>
      <c r="F96" s="206"/>
      <c r="G96" s="219"/>
      <c r="H96" s="206"/>
      <c r="I96" s="206"/>
      <c r="J96" s="335">
        <f>J95+J94</f>
        <v>70.099999999999994</v>
      </c>
      <c r="K96" s="335">
        <f t="shared" ref="K96:L96" si="52">K95+K94</f>
        <v>47.842210000000001</v>
      </c>
      <c r="L96" s="335">
        <f t="shared" si="52"/>
        <v>-22.25779</v>
      </c>
      <c r="M96" s="338"/>
      <c r="N96" s="335"/>
      <c r="O96" s="335"/>
      <c r="P96" s="335">
        <f t="shared" si="35"/>
        <v>0</v>
      </c>
      <c r="Q96" s="357"/>
      <c r="R96" s="357"/>
      <c r="S96" s="357">
        <f t="shared" si="36"/>
        <v>0</v>
      </c>
      <c r="T96" s="336"/>
      <c r="U96" s="338"/>
      <c r="V96" s="31"/>
      <c r="W96" s="31"/>
      <c r="X96" s="31"/>
      <c r="Y96" s="494"/>
    </row>
    <row r="97" spans="1:25" ht="48.75" customHeight="1">
      <c r="A97" s="486" t="s">
        <v>157</v>
      </c>
      <c r="B97" s="490" t="s">
        <v>176</v>
      </c>
      <c r="C97" s="46"/>
      <c r="D97" s="206">
        <v>0</v>
      </c>
      <c r="E97" s="206"/>
      <c r="F97" s="206"/>
      <c r="G97" s="219">
        <v>2.4</v>
      </c>
      <c r="H97" s="206">
        <f>G97-F97</f>
        <v>2.4</v>
      </c>
      <c r="I97" s="206"/>
      <c r="J97" s="335">
        <v>0</v>
      </c>
      <c r="K97" s="336"/>
      <c r="L97" s="336">
        <f t="shared" si="34"/>
        <v>0</v>
      </c>
      <c r="M97" s="338">
        <f>K97-J97</f>
        <v>0</v>
      </c>
      <c r="N97" s="335">
        <f>J97</f>
        <v>0</v>
      </c>
      <c r="O97" s="335">
        <v>0</v>
      </c>
      <c r="P97" s="335">
        <f t="shared" si="35"/>
        <v>0</v>
      </c>
      <c r="Q97" s="357">
        <v>0</v>
      </c>
      <c r="R97" s="357">
        <v>0</v>
      </c>
      <c r="S97" s="357">
        <f t="shared" si="36"/>
        <v>0</v>
      </c>
      <c r="T97" s="336">
        <v>0</v>
      </c>
      <c r="U97" s="338">
        <f t="shared" si="37"/>
        <v>2.4</v>
      </c>
      <c r="V97" s="31" t="s">
        <v>117</v>
      </c>
      <c r="W97" s="31"/>
      <c r="X97" s="31"/>
      <c r="Y97" s="494"/>
    </row>
    <row r="98" spans="1:25" ht="87" customHeight="1">
      <c r="A98" s="487"/>
      <c r="B98" s="492"/>
      <c r="C98" s="46"/>
      <c r="D98" s="206">
        <v>0</v>
      </c>
      <c r="E98" s="206"/>
      <c r="F98" s="206"/>
      <c r="G98" s="219">
        <v>240.6</v>
      </c>
      <c r="H98" s="206">
        <f t="shared" si="41"/>
        <v>240.6</v>
      </c>
      <c r="I98" s="206"/>
      <c r="J98" s="335">
        <v>0</v>
      </c>
      <c r="K98" s="336"/>
      <c r="L98" s="336">
        <f t="shared" si="34"/>
        <v>0</v>
      </c>
      <c r="M98" s="338">
        <f>K98-J98</f>
        <v>0</v>
      </c>
      <c r="N98" s="335">
        <f>J98</f>
        <v>0</v>
      </c>
      <c r="O98" s="335">
        <v>0</v>
      </c>
      <c r="P98" s="335">
        <f t="shared" si="35"/>
        <v>0</v>
      </c>
      <c r="Q98" s="357">
        <v>0</v>
      </c>
      <c r="R98" s="357">
        <v>0</v>
      </c>
      <c r="S98" s="357">
        <f t="shared" si="36"/>
        <v>0</v>
      </c>
      <c r="T98" s="336">
        <v>0</v>
      </c>
      <c r="U98" s="338">
        <f t="shared" si="37"/>
        <v>240.6</v>
      </c>
      <c r="V98" s="31" t="s">
        <v>62</v>
      </c>
      <c r="W98" s="31"/>
      <c r="X98" s="31"/>
      <c r="Y98" s="494"/>
    </row>
    <row r="99" spans="1:25" ht="93" customHeight="1">
      <c r="A99" s="486" t="s">
        <v>194</v>
      </c>
      <c r="B99" s="488" t="s">
        <v>191</v>
      </c>
      <c r="C99" s="46"/>
      <c r="D99" s="206">
        <v>0</v>
      </c>
      <c r="E99" s="206"/>
      <c r="F99" s="206"/>
      <c r="G99" s="219">
        <v>0.159</v>
      </c>
      <c r="H99" s="206">
        <f t="shared" si="41"/>
        <v>0.159</v>
      </c>
      <c r="I99" s="206"/>
      <c r="J99" s="335">
        <v>245</v>
      </c>
      <c r="K99" s="336">
        <v>245</v>
      </c>
      <c r="L99" s="336">
        <f t="shared" si="34"/>
        <v>0</v>
      </c>
      <c r="M99" s="338">
        <f>K99-J99</f>
        <v>0</v>
      </c>
      <c r="N99" s="335">
        <v>245</v>
      </c>
      <c r="O99" s="335">
        <v>715.8</v>
      </c>
      <c r="P99" s="335">
        <f t="shared" si="35"/>
        <v>470.79999999999995</v>
      </c>
      <c r="Q99" s="357">
        <v>245</v>
      </c>
      <c r="R99" s="357">
        <v>715.8</v>
      </c>
      <c r="S99" s="357">
        <f t="shared" si="36"/>
        <v>470.79999999999995</v>
      </c>
      <c r="T99" s="336">
        <v>715.8</v>
      </c>
      <c r="U99" s="338">
        <f t="shared" si="37"/>
        <v>2392.5590000000002</v>
      </c>
      <c r="V99" s="31" t="s">
        <v>117</v>
      </c>
      <c r="W99" s="31"/>
      <c r="X99" s="31"/>
      <c r="Y99" s="261"/>
    </row>
    <row r="100" spans="1:25" ht="121.5" customHeight="1">
      <c r="A100" s="487"/>
      <c r="B100" s="489"/>
      <c r="C100" s="46"/>
      <c r="D100" s="206">
        <v>0</v>
      </c>
      <c r="E100" s="206"/>
      <c r="F100" s="206"/>
      <c r="G100" s="219">
        <v>159</v>
      </c>
      <c r="H100" s="206">
        <f t="shared" si="41"/>
        <v>159</v>
      </c>
      <c r="I100" s="206"/>
      <c r="J100" s="335">
        <v>714.62</v>
      </c>
      <c r="K100" s="336">
        <v>714.62</v>
      </c>
      <c r="L100" s="336">
        <f t="shared" si="34"/>
        <v>0</v>
      </c>
      <c r="M100" s="338">
        <f>K100-J100</f>
        <v>0</v>
      </c>
      <c r="N100" s="335">
        <v>714.62</v>
      </c>
      <c r="O100" s="335"/>
      <c r="P100" s="335">
        <f t="shared" si="35"/>
        <v>-714.62</v>
      </c>
      <c r="Q100" s="357">
        <f>N100</f>
        <v>714.62</v>
      </c>
      <c r="R100" s="357"/>
      <c r="S100" s="357">
        <f t="shared" si="36"/>
        <v>-714.62</v>
      </c>
      <c r="T100" s="336"/>
      <c r="U100" s="338">
        <f t="shared" si="37"/>
        <v>873.62</v>
      </c>
      <c r="V100" s="31" t="s">
        <v>62</v>
      </c>
      <c r="W100" s="31"/>
      <c r="X100" s="31"/>
      <c r="Y100" s="261"/>
    </row>
    <row r="101" spans="1:25" ht="121.5" customHeight="1">
      <c r="A101" s="294"/>
      <c r="B101" s="364"/>
      <c r="C101" s="46"/>
      <c r="D101" s="206"/>
      <c r="E101" s="206"/>
      <c r="F101" s="206"/>
      <c r="G101" s="219"/>
      <c r="H101" s="206"/>
      <c r="I101" s="206"/>
      <c r="J101" s="335"/>
      <c r="K101" s="336"/>
      <c r="L101" s="336"/>
      <c r="M101" s="338"/>
      <c r="N101" s="335">
        <f>N99+N100</f>
        <v>959.62</v>
      </c>
      <c r="O101" s="335">
        <f t="shared" ref="O101:P101" si="53">O99+O100</f>
        <v>715.8</v>
      </c>
      <c r="P101" s="335">
        <f t="shared" si="53"/>
        <v>-243.82000000000005</v>
      </c>
      <c r="Q101" s="357"/>
      <c r="R101" s="357"/>
      <c r="S101" s="357"/>
      <c r="T101" s="336"/>
      <c r="U101" s="338"/>
      <c r="V101" s="31"/>
      <c r="W101" s="31"/>
      <c r="X101" s="31"/>
      <c r="Y101" s="261"/>
    </row>
    <row r="102" spans="1:25" ht="57" customHeight="1">
      <c r="A102" s="265" t="s">
        <v>226</v>
      </c>
      <c r="B102" s="263" t="s">
        <v>225</v>
      </c>
      <c r="C102" s="46"/>
      <c r="D102" s="206"/>
      <c r="E102" s="206"/>
      <c r="F102" s="206"/>
      <c r="G102" s="219"/>
      <c r="H102" s="206"/>
      <c r="I102" s="206"/>
      <c r="J102" s="335"/>
      <c r="K102" s="336">
        <v>135.732</v>
      </c>
      <c r="L102" s="336">
        <f t="shared" si="34"/>
        <v>135.732</v>
      </c>
      <c r="M102" s="338"/>
      <c r="N102" s="335"/>
      <c r="O102" s="335"/>
      <c r="P102" s="335">
        <f t="shared" si="35"/>
        <v>0</v>
      </c>
      <c r="Q102" s="357"/>
      <c r="R102" s="357"/>
      <c r="S102" s="357">
        <f t="shared" si="36"/>
        <v>0</v>
      </c>
      <c r="T102" s="336"/>
      <c r="U102" s="338">
        <f t="shared" si="37"/>
        <v>135.732</v>
      </c>
      <c r="V102" s="31" t="s">
        <v>117</v>
      </c>
      <c r="W102" s="31"/>
      <c r="X102" s="31"/>
      <c r="Y102" s="261"/>
    </row>
    <row r="103" spans="1:25" ht="57" customHeight="1">
      <c r="A103" s="265" t="s">
        <v>227</v>
      </c>
      <c r="B103" s="263" t="s">
        <v>228</v>
      </c>
      <c r="C103" s="46"/>
      <c r="D103" s="206"/>
      <c r="E103" s="206"/>
      <c r="F103" s="206"/>
      <c r="G103" s="219"/>
      <c r="H103" s="206"/>
      <c r="I103" s="206"/>
      <c r="J103" s="335"/>
      <c r="K103" s="336">
        <v>87.15</v>
      </c>
      <c r="L103" s="336">
        <f>K103-J103</f>
        <v>87.15</v>
      </c>
      <c r="M103" s="338"/>
      <c r="N103" s="335"/>
      <c r="O103" s="335"/>
      <c r="P103" s="335">
        <f t="shared" si="35"/>
        <v>0</v>
      </c>
      <c r="Q103" s="357"/>
      <c r="R103" s="357"/>
      <c r="S103" s="357">
        <f t="shared" si="36"/>
        <v>0</v>
      </c>
      <c r="T103" s="336"/>
      <c r="U103" s="338">
        <f t="shared" si="37"/>
        <v>87.15</v>
      </c>
      <c r="V103" s="31"/>
      <c r="W103" s="31"/>
      <c r="X103" s="31"/>
      <c r="Y103" s="261"/>
    </row>
    <row r="104" spans="1:25" s="277" customFormat="1" ht="32.25" customHeight="1">
      <c r="A104" s="294"/>
      <c r="B104" s="263" t="s">
        <v>20</v>
      </c>
      <c r="C104" s="46">
        <f>C71+C72+C73+C74+C75+C76+C79+C82+C85+C88+C91+C94</f>
        <v>385434.51</v>
      </c>
      <c r="D104" s="206">
        <f>D71+D72+D73+D74+D75+D76+D79+D82+D85+D88+D91+D94</f>
        <v>423752.01</v>
      </c>
      <c r="E104" s="206">
        <f>D104-C104</f>
        <v>38317.5</v>
      </c>
      <c r="F104" s="206">
        <f>F71+F72+F73+F74+F75+F76+F79+F82+F85+F88+F91+F94</f>
        <v>217655.1</v>
      </c>
      <c r="G104" s="219">
        <f>G71+G72+G73+G74+G75+G76+G79+G82+G85+G88+G91+G94+G97+G99</f>
        <v>587131.30576000002</v>
      </c>
      <c r="H104" s="219">
        <f>H71+H72+H73+H74+H75+H76+H79+H82+H85+H88+H91+H94+H97+H99</f>
        <v>474840.15575999999</v>
      </c>
      <c r="I104" s="219">
        <f>I71+I72+I73+I74+I75+I76+I79+I82+I85+I88+I91+I94+I97+I99</f>
        <v>217655.1</v>
      </c>
      <c r="J104" s="335">
        <f>J71+J72+J73+J74+J75+J76+J79+J82+J85+J88+J91+J94+J97+J99</f>
        <v>344732.32821000007</v>
      </c>
      <c r="K104" s="336">
        <f>K71+K72+K73+K74+K75+K76+K79+K82+K85+K88+K91+K94+K97+K99+K102+K103</f>
        <v>370930.57896999997</v>
      </c>
      <c r="L104" s="336">
        <f>K104-J104</f>
        <v>26198.250759999908</v>
      </c>
      <c r="M104" s="338">
        <f>M71+M72+M73+M74+M75+M76+M79+M82+M85+M88+M91+M94+M97+M99</f>
        <v>25975.368759999936</v>
      </c>
      <c r="N104" s="335">
        <f>N71+N72+N73+N74+N75+N76+N79+N82+N85+N88+N91+N94+N97+N99</f>
        <v>290258.05</v>
      </c>
      <c r="O104" s="335">
        <f>O71+O72+O73+O74+O75+O76+O79+O82+O85+O88+O91+O94+O97+O99</f>
        <v>312391.50000000012</v>
      </c>
      <c r="P104" s="335">
        <f t="shared" si="35"/>
        <v>22133.450000000128</v>
      </c>
      <c r="Q104" s="357">
        <f>Q71+Q72+Q73+Q74+Q75+Q76+Q79+Q82+Q85+Q88+Q91+Q94+Q97+Q99</f>
        <v>304406.55</v>
      </c>
      <c r="R104" s="357">
        <f>R71+R72+R73+R74+R75+R76+R79+R82+R85+R88+R91+R94+R97+R99</f>
        <v>312257.10000000009</v>
      </c>
      <c r="S104" s="357">
        <f t="shared" si="36"/>
        <v>7850.5500000001048</v>
      </c>
      <c r="T104" s="336">
        <f>T71+T72+T73+T74+T75+T76+T79+T82+T85+T88+T91+T94+T97+T99</f>
        <v>312257.10000000009</v>
      </c>
      <c r="U104" s="338">
        <f t="shared" si="37"/>
        <v>2318719.5947300005</v>
      </c>
      <c r="V104" s="241"/>
      <c r="W104" s="271"/>
      <c r="X104" s="271"/>
      <c r="Y104" s="271"/>
    </row>
    <row r="105" spans="1:25" s="277" customFormat="1" ht="35.25" customHeight="1">
      <c r="A105" s="241"/>
      <c r="B105" s="31" t="s">
        <v>21</v>
      </c>
      <c r="C105" s="46">
        <f>C77+C80+C83+C86+C89+C92+C95</f>
        <v>7502.3000000000011</v>
      </c>
      <c r="D105" s="206">
        <f>D77+D80+D83+D86+D89+D92+D95</f>
        <v>7892.3000000000011</v>
      </c>
      <c r="E105" s="206">
        <f t="shared" si="38"/>
        <v>390</v>
      </c>
      <c r="F105" s="206">
        <f>F77+F80+F83+F86+F89+F92+F95</f>
        <v>7502.3000000000011</v>
      </c>
      <c r="G105" s="219">
        <f>G77+G80+G83+G86+G89+G92+G95+G98+G100</f>
        <v>10121.299999999999</v>
      </c>
      <c r="H105" s="219">
        <f>H77+H80+H83+H86+H89+H92+H95+H98+H100</f>
        <v>2618.9999999999991</v>
      </c>
      <c r="I105" s="219">
        <f>I77+I80+I83+I86+I89+I92+I95+I98+I100</f>
        <v>7502.3000000000011</v>
      </c>
      <c r="J105" s="335">
        <f>J77+J80+J83+J86+J89+J92+J95+J98+J100</f>
        <v>10646.69</v>
      </c>
      <c r="K105" s="336">
        <f>K77+K80+K83+K86+K89+K92+K95+K98+K100</f>
        <v>10624.432210000001</v>
      </c>
      <c r="L105" s="336">
        <f t="shared" ref="L105" si="54">K105-J105</f>
        <v>-22.257789999999659</v>
      </c>
      <c r="M105" s="338">
        <f>M77+M80+M83+M86+M89+M92+M95+M98+M100</f>
        <v>-22.25779</v>
      </c>
      <c r="N105" s="335">
        <f>N77+N80+N83+N86+N89+N92+N95+N98+N100</f>
        <v>11104.449999999999</v>
      </c>
      <c r="O105" s="335">
        <f>O77+O80+O83+O86+O89+O92+O95+O98+O100</f>
        <v>455.72</v>
      </c>
      <c r="P105" s="335">
        <f t="shared" si="35"/>
        <v>-10648.73</v>
      </c>
      <c r="Q105" s="357">
        <f>Q77+Q80+Q83+Q86+Q89+Q92+Q95+Q98+Q100</f>
        <v>11104.449999999999</v>
      </c>
      <c r="R105" s="357">
        <f>R77+R80+R83+R86+R89+R92+R95+R98+R100</f>
        <v>455.72</v>
      </c>
      <c r="S105" s="357">
        <f t="shared" si="36"/>
        <v>-10648.73</v>
      </c>
      <c r="T105" s="336">
        <f>T77+T80+T83+T86+T89+T92+T95+T98+T100</f>
        <v>455.72</v>
      </c>
      <c r="U105" s="338">
        <f t="shared" si="37"/>
        <v>30005.192210000001</v>
      </c>
      <c r="V105" s="241"/>
      <c r="W105" s="271"/>
      <c r="X105" s="274"/>
      <c r="Y105" s="271"/>
    </row>
    <row r="106" spans="1:25" s="277" customFormat="1" ht="81" customHeight="1">
      <c r="A106" s="241"/>
      <c r="B106" s="10" t="s">
        <v>22</v>
      </c>
      <c r="C106" s="46">
        <f>C104+C105</f>
        <v>392936.81</v>
      </c>
      <c r="D106" s="206">
        <f>D104+D105</f>
        <v>431644.31</v>
      </c>
      <c r="E106" s="206">
        <f t="shared" si="38"/>
        <v>38707.5</v>
      </c>
      <c r="F106" s="206">
        <f>F104+F105</f>
        <v>225157.4</v>
      </c>
      <c r="G106" s="219">
        <f>G104+G105</f>
        <v>597252.60576000006</v>
      </c>
      <c r="H106" s="219">
        <f t="shared" ref="H106:I106" si="55">H104+H105</f>
        <v>477459.15575999999</v>
      </c>
      <c r="I106" s="219">
        <f t="shared" si="55"/>
        <v>225157.4</v>
      </c>
      <c r="J106" s="335">
        <f>J104+J105</f>
        <v>355379.01821000007</v>
      </c>
      <c r="K106" s="336">
        <f>K104+K105</f>
        <v>381555.01117999997</v>
      </c>
      <c r="L106" s="336">
        <f>K106-J106</f>
        <v>26175.992969999905</v>
      </c>
      <c r="M106" s="338">
        <f>M79+M82+M85+M88+M91+M94+M97+M99+M102</f>
        <v>-68.124979999999979</v>
      </c>
      <c r="N106" s="335">
        <f>N104+N105</f>
        <v>301362.5</v>
      </c>
      <c r="O106" s="335">
        <f>O104+O105</f>
        <v>312847.22000000009</v>
      </c>
      <c r="P106" s="335">
        <f t="shared" si="35"/>
        <v>11484.720000000088</v>
      </c>
      <c r="Q106" s="357">
        <f>Q104+Q105</f>
        <v>315511</v>
      </c>
      <c r="R106" s="357">
        <f>R104+R105</f>
        <v>312712.82000000007</v>
      </c>
      <c r="S106" s="357">
        <f t="shared" si="36"/>
        <v>-2798.1799999999348</v>
      </c>
      <c r="T106" s="336">
        <f>T104+T105</f>
        <v>312712.82000000007</v>
      </c>
      <c r="U106" s="338">
        <f t="shared" si="37"/>
        <v>2348724.78694</v>
      </c>
      <c r="V106" s="241"/>
      <c r="W106" s="271"/>
      <c r="X106" s="271"/>
      <c r="Y106" s="271"/>
    </row>
    <row r="107" spans="1:25" s="277" customFormat="1" ht="26.25">
      <c r="A107" s="241"/>
      <c r="B107" s="315" t="s">
        <v>132</v>
      </c>
      <c r="C107" s="319"/>
      <c r="D107" s="317">
        <v>431644.31</v>
      </c>
      <c r="E107" s="317"/>
      <c r="F107" s="317"/>
      <c r="G107" s="318"/>
      <c r="H107" s="317"/>
      <c r="I107" s="317"/>
      <c r="J107" s="347"/>
      <c r="K107" s="348">
        <v>381555.01117999997</v>
      </c>
      <c r="L107" s="336">
        <f>K107-J107</f>
        <v>381555.01117999997</v>
      </c>
      <c r="M107" s="347"/>
      <c r="N107" s="349">
        <v>312847.21999999997</v>
      </c>
      <c r="O107" s="349">
        <v>312847.21999999997</v>
      </c>
      <c r="P107" s="335">
        <f t="shared" si="35"/>
        <v>0</v>
      </c>
      <c r="Q107" s="360"/>
      <c r="R107" s="360">
        <v>312712.82</v>
      </c>
      <c r="S107" s="357">
        <f t="shared" si="36"/>
        <v>312712.82</v>
      </c>
      <c r="T107" s="348">
        <v>312712.82</v>
      </c>
      <c r="U107" s="338">
        <f t="shared" si="37"/>
        <v>1751472.1811800001</v>
      </c>
      <c r="V107" s="241"/>
      <c r="W107" s="271"/>
      <c r="X107" s="271"/>
      <c r="Y107" s="271"/>
    </row>
    <row r="108" spans="1:25" s="277" customFormat="1" ht="26.25">
      <c r="A108" s="241"/>
      <c r="B108" s="315" t="s">
        <v>132</v>
      </c>
      <c r="C108" s="319"/>
      <c r="D108" s="320">
        <f>D107-D106</f>
        <v>0</v>
      </c>
      <c r="E108" s="320"/>
      <c r="F108" s="320"/>
      <c r="G108" s="318"/>
      <c r="H108" s="320">
        <f t="shared" ref="H108:I108" si="56">H107-H106</f>
        <v>-477459.15575999999</v>
      </c>
      <c r="I108" s="320">
        <f t="shared" si="56"/>
        <v>-225157.4</v>
      </c>
      <c r="J108" s="347"/>
      <c r="K108" s="348">
        <f>K107-K106</f>
        <v>0</v>
      </c>
      <c r="L108" s="336">
        <f t="shared" ref="L108:L113" si="57">K108-J108</f>
        <v>0</v>
      </c>
      <c r="M108" s="347">
        <f>M107-M106</f>
        <v>68.124979999999979</v>
      </c>
      <c r="N108" s="349">
        <f>N107-N106</f>
        <v>11484.719999999972</v>
      </c>
      <c r="O108" s="349">
        <f>O107-O106</f>
        <v>0</v>
      </c>
      <c r="P108" s="335">
        <f t="shared" si="35"/>
        <v>-11484.719999999972</v>
      </c>
      <c r="Q108" s="360"/>
      <c r="R108" s="360">
        <f>R107-R106</f>
        <v>0</v>
      </c>
      <c r="S108" s="357">
        <f t="shared" si="36"/>
        <v>0</v>
      </c>
      <c r="T108" s="348">
        <f t="shared" ref="T108" si="58">T107-T106</f>
        <v>0</v>
      </c>
      <c r="U108" s="338">
        <f t="shared" si="37"/>
        <v>0</v>
      </c>
      <c r="V108" s="241"/>
      <c r="W108" s="271"/>
      <c r="X108" s="271"/>
      <c r="Y108" s="271"/>
    </row>
    <row r="109" spans="1:25" s="277" customFormat="1" ht="107.45" customHeight="1">
      <c r="A109" s="241"/>
      <c r="B109" s="10"/>
      <c r="C109" s="46"/>
      <c r="D109" s="240"/>
      <c r="E109" s="240"/>
      <c r="F109" s="240"/>
      <c r="G109" s="219"/>
      <c r="H109" s="240"/>
      <c r="I109" s="240"/>
      <c r="J109" s="349"/>
      <c r="K109" s="348"/>
      <c r="L109" s="336">
        <f t="shared" si="57"/>
        <v>0</v>
      </c>
      <c r="M109" s="350"/>
      <c r="N109" s="349"/>
      <c r="O109" s="349"/>
      <c r="P109" s="335">
        <f t="shared" si="35"/>
        <v>0</v>
      </c>
      <c r="Q109" s="360"/>
      <c r="R109" s="360"/>
      <c r="S109" s="357">
        <f t="shared" si="36"/>
        <v>0</v>
      </c>
      <c r="T109" s="348"/>
      <c r="U109" s="338"/>
      <c r="V109" s="241"/>
      <c r="W109" s="271"/>
      <c r="X109" s="271"/>
      <c r="Y109" s="271"/>
    </row>
    <row r="110" spans="1:25" s="277" customFormat="1" ht="53.25" customHeight="1">
      <c r="A110" s="241"/>
      <c r="B110" s="10" t="s">
        <v>24</v>
      </c>
      <c r="C110" s="37" t="e">
        <f>C111+C112+C113</f>
        <v>#REF!</v>
      </c>
      <c r="D110" s="206">
        <f>D111+D112+D113</f>
        <v>603117.71</v>
      </c>
      <c r="E110" s="206" t="e">
        <f>E111+E112+E113</f>
        <v>#REF!</v>
      </c>
      <c r="F110" s="206" t="e">
        <f>F111+F112+F113</f>
        <v>#REF!</v>
      </c>
      <c r="G110" s="219">
        <f>G111+G112+G113</f>
        <v>665367.74676000001</v>
      </c>
      <c r="H110" s="219" t="e">
        <f t="shared" ref="H110:I110" si="59">H111+H112+H113</f>
        <v>#REF!</v>
      </c>
      <c r="I110" s="219" t="e">
        <f t="shared" si="59"/>
        <v>#REF!</v>
      </c>
      <c r="J110" s="335">
        <f>J111+J112+J113</f>
        <v>409883.79927000008</v>
      </c>
      <c r="K110" s="336">
        <f>K111+K112+K113</f>
        <v>441675.02464000002</v>
      </c>
      <c r="L110" s="336">
        <f>K110-J110</f>
        <v>31791.225369999942</v>
      </c>
      <c r="M110" s="338">
        <f>M111+M112+M113</f>
        <v>31568.343369999944</v>
      </c>
      <c r="N110" s="335">
        <f t="shared" ref="N110" si="60">N111+N112+N113</f>
        <v>366143.96950000001</v>
      </c>
      <c r="O110" s="335">
        <f t="shared" ref="O110" si="61">O111+O112+O113</f>
        <v>370918.84366000013</v>
      </c>
      <c r="P110" s="335">
        <f>O110-N110</f>
        <v>4774.8741600001231</v>
      </c>
      <c r="Q110" s="357">
        <f>Q111+Q112+Q113</f>
        <v>453713.70750000002</v>
      </c>
      <c r="R110" s="357">
        <f>R111+R112+R113</f>
        <v>374044.30450000009</v>
      </c>
      <c r="S110" s="357">
        <f t="shared" si="36"/>
        <v>-79669.402999999933</v>
      </c>
      <c r="T110" s="336">
        <f>T111+T112+T113</f>
        <v>374141.89175000013</v>
      </c>
      <c r="U110" s="338">
        <f>D110+G110+K110+O110+R110+T110</f>
        <v>2829265.5213100002</v>
      </c>
      <c r="V110" s="242"/>
      <c r="W110" s="243"/>
      <c r="X110" s="243"/>
      <c r="Y110" s="271"/>
    </row>
    <row r="111" spans="1:25" s="277" customFormat="1" ht="33.75" customHeight="1">
      <c r="A111" s="241"/>
      <c r="B111" s="31" t="s">
        <v>20</v>
      </c>
      <c r="C111" s="37" t="e">
        <f t="shared" ref="C111:N111" si="62">C104+C61</f>
        <v>#REF!</v>
      </c>
      <c r="D111" s="206">
        <f t="shared" si="62"/>
        <v>544722.11</v>
      </c>
      <c r="E111" s="206" t="e">
        <f t="shared" si="62"/>
        <v>#REF!</v>
      </c>
      <c r="F111" s="206" t="e">
        <f t="shared" si="62"/>
        <v>#REF!</v>
      </c>
      <c r="G111" s="219">
        <f t="shared" si="62"/>
        <v>649404.54676000006</v>
      </c>
      <c r="H111" s="219" t="e">
        <f t="shared" si="62"/>
        <v>#REF!</v>
      </c>
      <c r="I111" s="219" t="e">
        <f t="shared" si="62"/>
        <v>#REF!</v>
      </c>
      <c r="J111" s="335">
        <f t="shared" si="62"/>
        <v>393110.87821000005</v>
      </c>
      <c r="K111" s="336">
        <f t="shared" si="62"/>
        <v>424924.36137</v>
      </c>
      <c r="L111" s="336">
        <f t="shared" si="57"/>
        <v>31813.483159999945</v>
      </c>
      <c r="M111" s="338">
        <f t="shared" si="62"/>
        <v>31590.601159999944</v>
      </c>
      <c r="N111" s="335">
        <f t="shared" si="62"/>
        <v>328509.19</v>
      </c>
      <c r="O111" s="335">
        <f t="shared" ref="O111" si="63">O104+O61</f>
        <v>364020.3000000001</v>
      </c>
      <c r="P111" s="335">
        <f t="shared" si="35"/>
        <v>35511.110000000102</v>
      </c>
      <c r="Q111" s="357">
        <f>Q104+Q61</f>
        <v>342723.07</v>
      </c>
      <c r="R111" s="357">
        <f>R104+R61</f>
        <v>363889.20000000007</v>
      </c>
      <c r="S111" s="357">
        <f t="shared" si="36"/>
        <v>21166.130000000063</v>
      </c>
      <c r="T111" s="336">
        <f>T104+T61</f>
        <v>363889.3000000001</v>
      </c>
      <c r="U111" s="338">
        <f t="shared" si="37"/>
        <v>2710849.8181300005</v>
      </c>
      <c r="V111" s="241"/>
      <c r="W111" s="271"/>
      <c r="X111" s="271"/>
      <c r="Y111" s="271"/>
    </row>
    <row r="112" spans="1:25" s="277" customFormat="1" ht="34.5" customHeight="1">
      <c r="A112" s="241"/>
      <c r="B112" s="31" t="s">
        <v>21</v>
      </c>
      <c r="C112" s="37" t="e">
        <f t="shared" ref="C112:N112" si="64">C62+C105</f>
        <v>#REF!</v>
      </c>
      <c r="D112" s="206">
        <f t="shared" si="64"/>
        <v>51703.200000000004</v>
      </c>
      <c r="E112" s="206" t="e">
        <f t="shared" si="64"/>
        <v>#REF!</v>
      </c>
      <c r="F112" s="206" t="e">
        <f t="shared" si="64"/>
        <v>#REF!</v>
      </c>
      <c r="G112" s="219">
        <f t="shared" si="64"/>
        <v>13706</v>
      </c>
      <c r="H112" s="219" t="e">
        <f t="shared" si="64"/>
        <v>#REF!</v>
      </c>
      <c r="I112" s="219" t="e">
        <f t="shared" si="64"/>
        <v>#REF!</v>
      </c>
      <c r="J112" s="335">
        <f t="shared" si="64"/>
        <v>14073.14328</v>
      </c>
      <c r="K112" s="336">
        <f t="shared" si="64"/>
        <v>14050.885490000001</v>
      </c>
      <c r="L112" s="336">
        <f t="shared" si="57"/>
        <v>-22.257789999999659</v>
      </c>
      <c r="M112" s="338">
        <f t="shared" si="64"/>
        <v>-22.25779</v>
      </c>
      <c r="N112" s="335">
        <f t="shared" si="64"/>
        <v>37634.779499999997</v>
      </c>
      <c r="O112" s="335">
        <f t="shared" ref="O112" si="65">O62+O105</f>
        <v>6898.5436600000003</v>
      </c>
      <c r="P112" s="335">
        <f t="shared" si="35"/>
        <v>-30736.235839999998</v>
      </c>
      <c r="Q112" s="357">
        <f>Q62+Q105</f>
        <v>110990.63749999998</v>
      </c>
      <c r="R112" s="357">
        <f>R62+R105</f>
        <v>10155.104499999999</v>
      </c>
      <c r="S112" s="357">
        <f t="shared" si="36"/>
        <v>-100835.53299999998</v>
      </c>
      <c r="T112" s="336">
        <f>T62+T105</f>
        <v>10252.591749999998</v>
      </c>
      <c r="U112" s="338">
        <f t="shared" si="37"/>
        <v>106766.32539999999</v>
      </c>
      <c r="V112" s="241"/>
      <c r="W112" s="271"/>
      <c r="X112" s="271"/>
      <c r="Y112" s="278"/>
    </row>
    <row r="113" spans="1:25" s="277" customFormat="1" ht="32.25" customHeight="1">
      <c r="A113" s="241"/>
      <c r="B113" s="31" t="s">
        <v>25</v>
      </c>
      <c r="C113" s="37" t="e">
        <f>C63</f>
        <v>#REF!</v>
      </c>
      <c r="D113" s="206">
        <f>D63</f>
        <v>6692.4</v>
      </c>
      <c r="E113" s="206" t="e">
        <f>E63</f>
        <v>#REF!</v>
      </c>
      <c r="F113" s="206" t="e">
        <f>F63</f>
        <v>#REF!</v>
      </c>
      <c r="G113" s="219">
        <f t="shared" ref="G113:I113" si="66">G63</f>
        <v>2257.1999999999998</v>
      </c>
      <c r="H113" s="219" t="e">
        <f t="shared" si="66"/>
        <v>#REF!</v>
      </c>
      <c r="I113" s="219" t="e">
        <f t="shared" si="66"/>
        <v>#REF!</v>
      </c>
      <c r="J113" s="335">
        <f>J63</f>
        <v>2699.7777799999999</v>
      </c>
      <c r="K113" s="336">
        <f>K63</f>
        <v>2699.7777799999999</v>
      </c>
      <c r="L113" s="336">
        <f t="shared" si="57"/>
        <v>0</v>
      </c>
      <c r="M113" s="338">
        <f t="shared" ref="M113:N113" si="67">M63</f>
        <v>0</v>
      </c>
      <c r="N113" s="335">
        <f t="shared" si="67"/>
        <v>0</v>
      </c>
      <c r="O113" s="335">
        <f t="shared" ref="O113" si="68">O63</f>
        <v>0</v>
      </c>
      <c r="P113" s="335">
        <f t="shared" si="35"/>
        <v>0</v>
      </c>
      <c r="Q113" s="357">
        <f>Q63</f>
        <v>0</v>
      </c>
      <c r="R113" s="357">
        <f>R63</f>
        <v>0</v>
      </c>
      <c r="S113" s="357">
        <f t="shared" si="36"/>
        <v>0</v>
      </c>
      <c r="T113" s="336">
        <f t="shared" ref="T113" si="69">T63</f>
        <v>0</v>
      </c>
      <c r="U113" s="338">
        <f t="shared" si="37"/>
        <v>11649.377779999999</v>
      </c>
      <c r="V113" s="241"/>
      <c r="W113" s="271"/>
      <c r="X113" s="271"/>
      <c r="Y113" s="279"/>
    </row>
    <row r="114" spans="1:25" s="307" customFormat="1" ht="33.75">
      <c r="A114" s="299"/>
      <c r="B114" s="300"/>
      <c r="C114" s="301"/>
      <c r="D114" s="302"/>
      <c r="E114" s="302"/>
      <c r="F114" s="302"/>
      <c r="G114" s="303"/>
      <c r="H114" s="302"/>
      <c r="I114" s="302"/>
      <c r="K114" s="328">
        <v>441675.02464000002</v>
      </c>
      <c r="L114" s="328"/>
      <c r="M114" s="302"/>
      <c r="N114" s="304"/>
      <c r="O114" s="304">
        <v>370918.84366000001</v>
      </c>
      <c r="P114" s="304"/>
      <c r="Q114" s="361"/>
      <c r="R114" s="361">
        <v>374044.30450000003</v>
      </c>
      <c r="S114" s="361"/>
      <c r="T114" s="324">
        <v>374141.89175000001</v>
      </c>
      <c r="U114" s="305"/>
      <c r="V114" s="306"/>
    </row>
    <row r="115" spans="1:25" s="307" customFormat="1">
      <c r="A115" s="299"/>
      <c r="B115" s="300"/>
      <c r="C115" s="308"/>
      <c r="D115" s="302"/>
      <c r="E115" s="302"/>
      <c r="F115" s="302"/>
      <c r="G115" s="303"/>
      <c r="H115" s="302"/>
      <c r="I115" s="302"/>
      <c r="K115" s="328">
        <f>K114-K110</f>
        <v>0</v>
      </c>
      <c r="L115" s="328"/>
      <c r="M115" s="302"/>
      <c r="N115" s="304"/>
      <c r="O115" s="304">
        <f>O114-O110</f>
        <v>0</v>
      </c>
      <c r="P115" s="304"/>
      <c r="Q115" s="361"/>
      <c r="R115" s="361">
        <f>R114-R110</f>
        <v>0</v>
      </c>
      <c r="S115" s="361"/>
      <c r="T115" s="324">
        <f>T114-T110</f>
        <v>0</v>
      </c>
      <c r="U115" s="305"/>
      <c r="V115" s="306"/>
    </row>
    <row r="116" spans="1:25" s="311" customFormat="1" ht="28.5">
      <c r="A116" s="309"/>
      <c r="B116" s="310"/>
      <c r="D116" s="312"/>
      <c r="E116" s="312"/>
      <c r="F116" s="312"/>
      <c r="G116" s="312"/>
      <c r="H116" s="312"/>
      <c r="I116" s="312"/>
      <c r="K116" s="329"/>
      <c r="L116" s="329"/>
      <c r="M116" s="312"/>
      <c r="N116" s="313"/>
      <c r="O116" s="313"/>
      <c r="P116" s="313"/>
      <c r="Q116" s="362"/>
      <c r="R116" s="362"/>
      <c r="S116" s="362"/>
      <c r="T116" s="325"/>
      <c r="U116" s="312"/>
      <c r="V116" s="314"/>
    </row>
    <row r="117" spans="1:25" s="281" customFormat="1" ht="33.75">
      <c r="A117" s="287"/>
      <c r="B117" s="288"/>
      <c r="D117" s="289"/>
      <c r="E117" s="289"/>
      <c r="F117" s="289"/>
      <c r="G117" s="289"/>
      <c r="H117" s="289"/>
      <c r="I117" s="289"/>
      <c r="J117" s="297"/>
      <c r="K117" s="326"/>
      <c r="L117" s="326"/>
      <c r="M117" s="289"/>
      <c r="N117" s="298"/>
      <c r="O117" s="298"/>
      <c r="P117" s="298"/>
      <c r="Q117" s="363"/>
      <c r="R117" s="363"/>
      <c r="S117" s="363"/>
      <c r="T117" s="326"/>
      <c r="U117" s="289"/>
      <c r="V117" s="290"/>
    </row>
    <row r="118" spans="1:25" s="281" customFormat="1" ht="33.75">
      <c r="A118" s="287"/>
      <c r="B118" s="288"/>
      <c r="D118" s="289"/>
      <c r="E118" s="289"/>
      <c r="F118" s="289"/>
      <c r="G118" s="289"/>
      <c r="H118" s="289"/>
      <c r="I118" s="289"/>
      <c r="J118" s="297"/>
      <c r="K118" s="326"/>
      <c r="L118" s="326"/>
      <c r="M118" s="289"/>
      <c r="N118" s="298"/>
      <c r="O118" s="298"/>
      <c r="P118" s="298"/>
      <c r="Q118" s="363"/>
      <c r="R118" s="363"/>
      <c r="S118" s="363"/>
      <c r="T118" s="327"/>
      <c r="U118" s="290"/>
    </row>
    <row r="121" spans="1:25" s="281" customFormat="1" ht="93" hidden="1" customHeight="1">
      <c r="A121" s="287"/>
      <c r="B121" s="288"/>
      <c r="D121" s="289"/>
      <c r="E121" s="289"/>
      <c r="F121" s="289"/>
      <c r="G121" s="289"/>
      <c r="H121" s="289"/>
      <c r="I121" s="289"/>
      <c r="J121" s="297"/>
      <c r="K121" s="326"/>
      <c r="L121" s="326"/>
      <c r="M121" s="289"/>
      <c r="N121" s="298"/>
      <c r="O121" s="298"/>
      <c r="P121" s="298"/>
      <c r="Q121" s="363"/>
      <c r="R121" s="363"/>
      <c r="S121" s="363"/>
      <c r="T121" s="326"/>
      <c r="U121" s="289"/>
      <c r="V121" s="290"/>
    </row>
    <row r="122" spans="1:25" s="281" customFormat="1" ht="3.75" hidden="1" customHeight="1">
      <c r="A122" s="287"/>
      <c r="B122" s="288"/>
      <c r="D122" s="289"/>
      <c r="E122" s="289"/>
      <c r="F122" s="289"/>
      <c r="G122" s="289"/>
      <c r="H122" s="289"/>
      <c r="I122" s="289"/>
      <c r="J122" s="297"/>
      <c r="K122" s="326"/>
      <c r="L122" s="326"/>
      <c r="M122" s="289"/>
      <c r="N122" s="298"/>
      <c r="O122" s="298"/>
      <c r="P122" s="298"/>
      <c r="Q122" s="363"/>
      <c r="R122" s="363"/>
      <c r="S122" s="363"/>
      <c r="T122" s="326"/>
      <c r="U122" s="289"/>
      <c r="V122" s="290"/>
    </row>
    <row r="123" spans="1:25" s="281" customFormat="1" ht="33.75" hidden="1">
      <c r="A123" s="287"/>
      <c r="B123" s="288"/>
      <c r="D123" s="289"/>
      <c r="E123" s="289"/>
      <c r="F123" s="289"/>
      <c r="G123" s="289"/>
      <c r="H123" s="289"/>
      <c r="I123" s="289"/>
      <c r="J123" s="297"/>
      <c r="K123" s="326"/>
      <c r="L123" s="326"/>
      <c r="M123" s="289"/>
      <c r="N123" s="298">
        <v>371143.96500000003</v>
      </c>
      <c r="O123" s="298"/>
      <c r="P123" s="298"/>
      <c r="Q123" s="363">
        <v>444565.20750000002</v>
      </c>
      <c r="R123" s="363"/>
      <c r="S123" s="363"/>
      <c r="T123" s="326"/>
      <c r="U123" s="289"/>
      <c r="V123" s="290"/>
    </row>
    <row r="124" spans="1:25" s="281" customFormat="1" ht="33.75" hidden="1">
      <c r="A124" s="287"/>
      <c r="B124" s="288"/>
      <c r="D124" s="289"/>
      <c r="E124" s="289"/>
      <c r="F124" s="289"/>
      <c r="G124" s="289"/>
      <c r="H124" s="289"/>
      <c r="I124" s="289"/>
      <c r="J124" s="297"/>
      <c r="K124" s="326"/>
      <c r="L124" s="326"/>
      <c r="M124" s="289"/>
      <c r="N124" s="298">
        <f>N123-N110</f>
        <v>4999.9955000000191</v>
      </c>
      <c r="O124" s="298"/>
      <c r="P124" s="298"/>
      <c r="Q124" s="363">
        <f>Q123-Q110</f>
        <v>-9148.5</v>
      </c>
      <c r="R124" s="363"/>
      <c r="S124" s="363"/>
      <c r="T124" s="326"/>
      <c r="U124" s="289"/>
      <c r="V124" s="290"/>
    </row>
  </sheetData>
  <mergeCells count="72">
    <mergeCell ref="K12:K13"/>
    <mergeCell ref="M12:M13"/>
    <mergeCell ref="O12:O13"/>
    <mergeCell ref="V7:Y7"/>
    <mergeCell ref="V1:Y1"/>
    <mergeCell ref="V2:Y2"/>
    <mergeCell ref="V3:Y3"/>
    <mergeCell ref="V4:Y4"/>
    <mergeCell ref="V5:Y5"/>
    <mergeCell ref="V8:Y8"/>
    <mergeCell ref="A10:Y10"/>
    <mergeCell ref="A12:A13"/>
    <mergeCell ref="B12:B13"/>
    <mergeCell ref="D12:D13"/>
    <mergeCell ref="G12:G13"/>
    <mergeCell ref="J12:J13"/>
    <mergeCell ref="N12:N13"/>
    <mergeCell ref="Q12:Q13"/>
    <mergeCell ref="U12:U13"/>
    <mergeCell ref="Y12:Y13"/>
    <mergeCell ref="V12:V13"/>
    <mergeCell ref="W12:W13"/>
    <mergeCell ref="X12:X13"/>
    <mergeCell ref="T12:T13"/>
    <mergeCell ref="P12:P13"/>
    <mergeCell ref="A14:Y14"/>
    <mergeCell ref="A15:X15"/>
    <mergeCell ref="Y15:Y60"/>
    <mergeCell ref="A16:X16"/>
    <mergeCell ref="A17:A19"/>
    <mergeCell ref="B17:B19"/>
    <mergeCell ref="A39:A42"/>
    <mergeCell ref="B39:B41"/>
    <mergeCell ref="A24:A25"/>
    <mergeCell ref="B24:B25"/>
    <mergeCell ref="W24:W25"/>
    <mergeCell ref="A35:A37"/>
    <mergeCell ref="B35:B37"/>
    <mergeCell ref="B27:B28"/>
    <mergeCell ref="A67:Y67"/>
    <mergeCell ref="A43:A45"/>
    <mergeCell ref="B43:B45"/>
    <mergeCell ref="A47:A49"/>
    <mergeCell ref="B47:B49"/>
    <mergeCell ref="A51:A52"/>
    <mergeCell ref="B51:B52"/>
    <mergeCell ref="A55:A56"/>
    <mergeCell ref="B55:B56"/>
    <mergeCell ref="A59:A60"/>
    <mergeCell ref="B59:B60"/>
    <mergeCell ref="X59:X60"/>
    <mergeCell ref="A68:X68"/>
    <mergeCell ref="Y68:Y98"/>
    <mergeCell ref="A69:X69"/>
    <mergeCell ref="A76:A77"/>
    <mergeCell ref="B76:B77"/>
    <mergeCell ref="A79:A80"/>
    <mergeCell ref="B79:B80"/>
    <mergeCell ref="A82:A83"/>
    <mergeCell ref="B82:B83"/>
    <mergeCell ref="A85:A86"/>
    <mergeCell ref="A97:A98"/>
    <mergeCell ref="B97:B98"/>
    <mergeCell ref="A99:A100"/>
    <mergeCell ref="B99:B100"/>
    <mergeCell ref="B85:B86"/>
    <mergeCell ref="A88:A89"/>
    <mergeCell ref="B88:B89"/>
    <mergeCell ref="A91:A92"/>
    <mergeCell ref="B91:B92"/>
    <mergeCell ref="A94:A95"/>
    <mergeCell ref="B94:B95"/>
  </mergeCells>
  <phoneticPr fontId="19" type="noConversion"/>
  <pageMargins left="0.31496062992125984" right="0.31496062992125984" top="0.98425196850393704" bottom="0.19685039370078741" header="0.11811023622047245" footer="0.15748031496062992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96"/>
  <sheetViews>
    <sheetView view="pageBreakPreview" zoomScale="53" zoomScaleNormal="60" zoomScaleSheetLayoutView="53" workbookViewId="0">
      <selection activeCell="J22" sqref="J22"/>
    </sheetView>
  </sheetViews>
  <sheetFormatPr defaultColWidth="9.140625" defaultRowHeight="23.25"/>
  <cols>
    <col min="1" max="1" width="8.85546875" style="181" customWidth="1"/>
    <col min="2" max="2" width="67.28515625" style="234" customWidth="1"/>
    <col min="3" max="3" width="17.85546875" style="8" hidden="1" customWidth="1"/>
    <col min="4" max="4" width="21.28515625" style="208" hidden="1" customWidth="1"/>
    <col min="5" max="5" width="28" style="208" hidden="1" customWidth="1"/>
    <col min="6" max="6" width="28.28515625" style="208" hidden="1" customWidth="1"/>
    <col min="7" max="7" width="24.85546875" style="208" hidden="1" customWidth="1"/>
    <col min="8" max="9" width="28.28515625" style="208" hidden="1" customWidth="1"/>
    <col min="10" max="10" width="24.85546875" style="208" bestFit="1" customWidth="1"/>
    <col min="11" max="11" width="28.28515625" style="208" hidden="1" customWidth="1"/>
    <col min="12" max="12" width="25.7109375" style="208" customWidth="1"/>
    <col min="13" max="13" width="23" style="208" customWidth="1"/>
    <col min="14" max="14" width="24.85546875" style="208" bestFit="1" customWidth="1"/>
    <col min="15" max="15" width="22.140625" style="208" customWidth="1"/>
    <col min="16" max="16" width="21.28515625" style="208" customWidth="1"/>
    <col min="17" max="17" width="27.7109375" style="208" bestFit="1" customWidth="1"/>
    <col min="18" max="18" width="17" style="208" customWidth="1"/>
    <col min="19" max="19" width="21.7109375" style="208" bestFit="1" customWidth="1"/>
    <col min="20" max="20" width="38.140625" style="209" hidden="1" customWidth="1"/>
    <col min="21" max="21" width="18.28515625" style="237" customWidth="1"/>
    <col min="22" max="22" width="45.85546875" style="9" hidden="1" customWidth="1"/>
    <col min="23" max="23" width="35" style="9" hidden="1" customWidth="1"/>
    <col min="24" max="24" width="68.140625" style="9" customWidth="1"/>
    <col min="25" max="25" width="0.7109375" style="9" hidden="1" customWidth="1"/>
    <col min="26" max="30" width="9.140625" style="9" hidden="1" customWidth="1"/>
    <col min="31" max="31" width="6.85546875" style="9" customWidth="1"/>
    <col min="32" max="16384" width="9.140625" style="9"/>
  </cols>
  <sheetData>
    <row r="1" spans="1:24" ht="30.75" customHeight="1">
      <c r="C1" s="9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U1" s="567" t="s">
        <v>163</v>
      </c>
      <c r="V1" s="567"/>
      <c r="W1" s="567"/>
      <c r="X1" s="567"/>
    </row>
    <row r="2" spans="1:24" ht="29.25" customHeight="1">
      <c r="C2" s="9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U2" s="567" t="s">
        <v>213</v>
      </c>
      <c r="V2" s="567"/>
      <c r="W2" s="567"/>
      <c r="X2" s="567"/>
    </row>
    <row r="3" spans="1:24" ht="57" customHeight="1">
      <c r="A3" s="568" t="s">
        <v>192</v>
      </c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  <c r="N3" s="568"/>
      <c r="O3" s="568"/>
      <c r="P3" s="568"/>
      <c r="Q3" s="568"/>
      <c r="R3" s="568"/>
      <c r="S3" s="568"/>
      <c r="T3" s="568"/>
      <c r="U3" s="568"/>
      <c r="V3" s="568"/>
      <c r="W3" s="568"/>
      <c r="X3" s="568"/>
    </row>
    <row r="4" spans="1:24" ht="28.5" customHeight="1"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3" t="s">
        <v>101</v>
      </c>
    </row>
    <row r="5" spans="1:24" ht="24.75">
      <c r="A5" s="542" t="s">
        <v>1</v>
      </c>
      <c r="B5" s="542" t="s">
        <v>2</v>
      </c>
      <c r="C5" s="207"/>
      <c r="D5" s="504" t="s">
        <v>164</v>
      </c>
      <c r="E5" s="232"/>
      <c r="F5" s="232"/>
      <c r="G5" s="504" t="s">
        <v>142</v>
      </c>
      <c r="H5" s="232"/>
      <c r="I5" s="232"/>
      <c r="J5" s="504" t="s">
        <v>143</v>
      </c>
      <c r="K5" s="205"/>
      <c r="L5" s="533" t="s">
        <v>199</v>
      </c>
      <c r="M5" s="534"/>
      <c r="N5" s="504" t="s">
        <v>144</v>
      </c>
      <c r="O5" s="562" t="s">
        <v>209</v>
      </c>
      <c r="P5" s="563"/>
      <c r="Q5" s="504" t="s">
        <v>188</v>
      </c>
      <c r="R5" s="562" t="s">
        <v>210</v>
      </c>
      <c r="S5" s="563"/>
      <c r="T5" s="544" t="s">
        <v>3</v>
      </c>
      <c r="U5" s="542" t="s">
        <v>4</v>
      </c>
      <c r="V5" s="542" t="s">
        <v>4</v>
      </c>
      <c r="W5" s="542" t="s">
        <v>160</v>
      </c>
      <c r="X5" s="542" t="s">
        <v>200</v>
      </c>
    </row>
    <row r="6" spans="1:24" ht="46.5" customHeight="1">
      <c r="A6" s="542"/>
      <c r="B6" s="542"/>
      <c r="C6" s="31" t="s">
        <v>80</v>
      </c>
      <c r="D6" s="504"/>
      <c r="E6" s="229" t="s">
        <v>72</v>
      </c>
      <c r="F6" s="229" t="s">
        <v>130</v>
      </c>
      <c r="G6" s="504"/>
      <c r="H6" s="229" t="s">
        <v>72</v>
      </c>
      <c r="I6" s="229" t="s">
        <v>131</v>
      </c>
      <c r="J6" s="504"/>
      <c r="K6" s="206" t="s">
        <v>72</v>
      </c>
      <c r="L6" s="229" t="s">
        <v>197</v>
      </c>
      <c r="M6" s="229" t="s">
        <v>198</v>
      </c>
      <c r="N6" s="504"/>
      <c r="O6" s="229" t="s">
        <v>211</v>
      </c>
      <c r="P6" s="229" t="s">
        <v>212</v>
      </c>
      <c r="Q6" s="504"/>
      <c r="R6" s="229" t="s">
        <v>211</v>
      </c>
      <c r="S6" s="229" t="s">
        <v>212</v>
      </c>
      <c r="T6" s="544"/>
      <c r="U6" s="542"/>
      <c r="V6" s="542"/>
      <c r="W6" s="542"/>
      <c r="X6" s="542"/>
    </row>
    <row r="7" spans="1:24" s="183" customFormat="1" ht="42.75" customHeight="1">
      <c r="A7" s="545" t="s">
        <v>6</v>
      </c>
      <c r="B7" s="545"/>
      <c r="C7" s="545"/>
      <c r="D7" s="545"/>
      <c r="E7" s="545"/>
      <c r="F7" s="545"/>
      <c r="G7" s="545"/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5"/>
      <c r="S7" s="545"/>
      <c r="T7" s="545"/>
      <c r="U7" s="545"/>
      <c r="V7" s="545"/>
      <c r="W7" s="545"/>
      <c r="X7" s="545"/>
    </row>
    <row r="8" spans="1:24" s="86" customFormat="1" ht="54.75" customHeight="1">
      <c r="A8" s="538" t="s">
        <v>125</v>
      </c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230"/>
    </row>
    <row r="9" spans="1:24" s="86" customFormat="1" ht="107.25" customHeight="1">
      <c r="A9" s="559" t="s">
        <v>84</v>
      </c>
      <c r="B9" s="559"/>
      <c r="C9" s="559"/>
      <c r="D9" s="559"/>
      <c r="E9" s="559"/>
      <c r="F9" s="559"/>
      <c r="G9" s="559"/>
      <c r="H9" s="559"/>
      <c r="I9" s="559"/>
      <c r="J9" s="559"/>
      <c r="K9" s="559"/>
      <c r="L9" s="559"/>
      <c r="M9" s="559"/>
      <c r="N9" s="559"/>
      <c r="O9" s="559"/>
      <c r="P9" s="559"/>
      <c r="Q9" s="559"/>
      <c r="R9" s="559"/>
      <c r="S9" s="559"/>
      <c r="T9" s="559"/>
      <c r="U9" s="559"/>
      <c r="V9" s="559"/>
      <c r="W9" s="559"/>
      <c r="X9" s="230"/>
    </row>
    <row r="10" spans="1:24" ht="107.25" customHeight="1">
      <c r="A10" s="550">
        <v>1</v>
      </c>
      <c r="B10" s="552" t="s">
        <v>31</v>
      </c>
      <c r="C10" s="25">
        <f>C17+C19+C20+C21+C22+C23</f>
        <v>23003.7</v>
      </c>
      <c r="D10" s="206">
        <f>D17+D19+D20+D21+D22+D23</f>
        <v>28774.5</v>
      </c>
      <c r="E10" s="206">
        <f>E17+E19+E20+E21+E22+E23</f>
        <v>5770.8</v>
      </c>
      <c r="F10" s="206">
        <f>F17+F19+F20+F21+F22+F23</f>
        <v>19980.199999999997</v>
      </c>
      <c r="G10" s="219">
        <v>51262.540999999997</v>
      </c>
      <c r="H10" s="206"/>
      <c r="I10" s="206">
        <f>I17+I19+I20+I21+I22+I23</f>
        <v>19980.199999999997</v>
      </c>
      <c r="J10" s="219">
        <f>J17+J19+J20+J21+J22+J23+J25</f>
        <v>35027.599999999999</v>
      </c>
      <c r="K10" s="219"/>
      <c r="L10" s="219"/>
      <c r="M10" s="219"/>
      <c r="N10" s="219">
        <f>N17+N19+N20+N21+N22+N23</f>
        <v>35024.5</v>
      </c>
      <c r="O10" s="219"/>
      <c r="P10" s="219"/>
      <c r="Q10" s="219">
        <f>Q17+Q19+Q20+Q21+Q22+Q23</f>
        <v>35024.6</v>
      </c>
      <c r="R10" s="219"/>
      <c r="S10" s="219"/>
      <c r="T10" s="220">
        <f>D10+G10+J10+N10+Q10</f>
        <v>185113.74100000001</v>
      </c>
      <c r="U10" s="102" t="s">
        <v>7</v>
      </c>
      <c r="V10" s="102"/>
      <c r="W10" s="102" t="s">
        <v>159</v>
      </c>
      <c r="X10" s="230"/>
    </row>
    <row r="11" spans="1:24" ht="46.5" customHeight="1">
      <c r="A11" s="560"/>
      <c r="B11" s="561"/>
      <c r="C11" s="25">
        <f>C18</f>
        <v>2584.5</v>
      </c>
      <c r="D11" s="206">
        <f>D18</f>
        <v>2834.5</v>
      </c>
      <c r="E11" s="206">
        <f>E18</f>
        <v>250</v>
      </c>
      <c r="F11" s="206">
        <f>F18</f>
        <v>2584.5</v>
      </c>
      <c r="G11" s="219" t="e">
        <f>#REF!</f>
        <v>#REF!</v>
      </c>
      <c r="H11" s="206"/>
      <c r="I11" s="206">
        <f>I18</f>
        <v>2584.5</v>
      </c>
      <c r="J11" s="219">
        <f>J18+J26+J48</f>
        <v>3426.4532799999997</v>
      </c>
      <c r="K11" s="219">
        <f>K18+K33+K48</f>
        <v>841.95327999999995</v>
      </c>
      <c r="L11" s="219"/>
      <c r="M11" s="219"/>
      <c r="N11" s="219">
        <f>N18+N33</f>
        <v>2664.9775</v>
      </c>
      <c r="O11" s="219"/>
      <c r="P11" s="219"/>
      <c r="Q11" s="219">
        <f>Q18+Q33</f>
        <v>2664.9775</v>
      </c>
      <c r="R11" s="219"/>
      <c r="S11" s="219"/>
      <c r="T11" s="220" t="e">
        <f>D11+G11+J11+N11+Q11</f>
        <v>#REF!</v>
      </c>
      <c r="U11" s="102" t="s">
        <v>8</v>
      </c>
      <c r="V11" s="102"/>
      <c r="W11" s="102"/>
      <c r="X11" s="230"/>
    </row>
    <row r="12" spans="1:24" ht="46.5" customHeight="1">
      <c r="A12" s="551"/>
      <c r="B12" s="532"/>
      <c r="C12" s="25"/>
      <c r="D12" s="206">
        <v>0</v>
      </c>
      <c r="E12" s="206"/>
      <c r="F12" s="206"/>
      <c r="G12" s="219">
        <v>0</v>
      </c>
      <c r="H12" s="206"/>
      <c r="I12" s="206"/>
      <c r="J12" s="219">
        <f>J27</f>
        <v>2699.7777799999999</v>
      </c>
      <c r="K12" s="219"/>
      <c r="L12" s="219"/>
      <c r="M12" s="219"/>
      <c r="N12" s="219">
        <v>0</v>
      </c>
      <c r="O12" s="219"/>
      <c r="P12" s="219"/>
      <c r="Q12" s="219">
        <v>0</v>
      </c>
      <c r="R12" s="219"/>
      <c r="S12" s="219"/>
      <c r="T12" s="220">
        <f>D12+G12+J12+N12+Q12</f>
        <v>2699.7777799999999</v>
      </c>
      <c r="U12" s="102" t="s">
        <v>9</v>
      </c>
      <c r="V12" s="102"/>
      <c r="W12" s="102"/>
      <c r="X12" s="230"/>
    </row>
    <row r="13" spans="1:24" ht="108.75" customHeight="1">
      <c r="A13" s="192"/>
      <c r="B13" s="228" t="s">
        <v>37</v>
      </c>
      <c r="C13" s="25">
        <f>C11+C10</f>
        <v>25588.2</v>
      </c>
      <c r="D13" s="206">
        <f>D11+D10</f>
        <v>31609</v>
      </c>
      <c r="E13" s="206">
        <f t="shared" ref="E13:I13" si="0">E11+E10</f>
        <v>6020.8</v>
      </c>
      <c r="F13" s="206">
        <f t="shared" si="0"/>
        <v>22564.699999999997</v>
      </c>
      <c r="G13" s="219" t="e">
        <f>G10+G11+G12</f>
        <v>#REF!</v>
      </c>
      <c r="H13" s="206">
        <f t="shared" si="0"/>
        <v>0</v>
      </c>
      <c r="I13" s="206">
        <f t="shared" si="0"/>
        <v>22564.699999999997</v>
      </c>
      <c r="J13" s="219">
        <f>J11+J10+J12</f>
        <v>41153.831059999997</v>
      </c>
      <c r="K13" s="219">
        <f t="shared" ref="K13:Q13" si="1">K11+K10+K12</f>
        <v>841.95327999999995</v>
      </c>
      <c r="L13" s="219"/>
      <c r="M13" s="219"/>
      <c r="N13" s="219">
        <f t="shared" si="1"/>
        <v>37689.477500000001</v>
      </c>
      <c r="O13" s="219"/>
      <c r="P13" s="219"/>
      <c r="Q13" s="219">
        <f t="shared" si="1"/>
        <v>37689.577499999999</v>
      </c>
      <c r="R13" s="219"/>
      <c r="S13" s="219"/>
      <c r="T13" s="220" t="e">
        <f>D13+G13+J13+N13+Q13</f>
        <v>#REF!</v>
      </c>
      <c r="U13" s="102"/>
      <c r="V13" s="102"/>
      <c r="W13" s="102"/>
      <c r="X13" s="230"/>
    </row>
    <row r="14" spans="1:24" ht="35.25" customHeight="1">
      <c r="A14" s="192"/>
      <c r="B14" s="228" t="s">
        <v>10</v>
      </c>
      <c r="C14" s="25"/>
      <c r="D14" s="236">
        <v>31609</v>
      </c>
      <c r="E14" s="231"/>
      <c r="F14" s="231"/>
      <c r="G14" s="219"/>
      <c r="H14" s="231"/>
      <c r="I14" s="231"/>
      <c r="J14" s="221">
        <v>42717.181060000003</v>
      </c>
      <c r="K14" s="221"/>
      <c r="L14" s="221"/>
      <c r="M14" s="221"/>
      <c r="N14" s="221">
        <v>37689.477500000001</v>
      </c>
      <c r="O14" s="221"/>
      <c r="P14" s="221"/>
      <c r="Q14" s="221">
        <v>37698.577499999999</v>
      </c>
      <c r="R14" s="221"/>
      <c r="S14" s="221"/>
      <c r="T14" s="220"/>
      <c r="U14" s="102"/>
      <c r="V14" s="104"/>
      <c r="W14" s="104"/>
      <c r="X14" s="230"/>
    </row>
    <row r="15" spans="1:24" ht="24" customHeight="1">
      <c r="A15" s="192"/>
      <c r="B15" s="228"/>
      <c r="C15" s="25"/>
      <c r="D15" s="236">
        <f>D14-D13</f>
        <v>0</v>
      </c>
      <c r="E15" s="231"/>
      <c r="F15" s="231"/>
      <c r="G15" s="219"/>
      <c r="H15" s="231"/>
      <c r="I15" s="231"/>
      <c r="J15" s="221">
        <f>J14-J13</f>
        <v>1563.3500000000058</v>
      </c>
      <c r="K15" s="221">
        <f t="shared" ref="K15:Q15" si="2">K14-K13</f>
        <v>-841.95327999999995</v>
      </c>
      <c r="L15" s="221"/>
      <c r="M15" s="221"/>
      <c r="N15" s="221">
        <f t="shared" si="2"/>
        <v>0</v>
      </c>
      <c r="O15" s="221"/>
      <c r="P15" s="221"/>
      <c r="Q15" s="221">
        <f t="shared" si="2"/>
        <v>9</v>
      </c>
      <c r="R15" s="221"/>
      <c r="S15" s="221"/>
      <c r="T15" s="220"/>
      <c r="U15" s="102"/>
      <c r="V15" s="104"/>
      <c r="W15" s="104"/>
      <c r="X15" s="230"/>
    </row>
    <row r="16" spans="1:24" ht="24" customHeight="1">
      <c r="A16" s="192"/>
      <c r="B16" s="228"/>
      <c r="C16" s="25"/>
      <c r="D16" s="236"/>
      <c r="E16" s="231"/>
      <c r="F16" s="231"/>
      <c r="G16" s="219"/>
      <c r="H16" s="231"/>
      <c r="I16" s="23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0">
        <f t="shared" ref="T16:T31" si="3">D16+G16+J16+N16+Q16</f>
        <v>0</v>
      </c>
      <c r="U16" s="102"/>
      <c r="V16" s="104"/>
      <c r="W16" s="104"/>
      <c r="X16" s="230"/>
    </row>
    <row r="17" spans="1:24" ht="66.75" customHeight="1">
      <c r="A17" s="546" t="s">
        <v>11</v>
      </c>
      <c r="B17" s="549" t="s">
        <v>186</v>
      </c>
      <c r="C17" s="25">
        <v>100</v>
      </c>
      <c r="D17" s="206">
        <v>100</v>
      </c>
      <c r="E17" s="206">
        <f t="shared" ref="E17:E39" si="4">D17-C17</f>
        <v>0</v>
      </c>
      <c r="F17" s="206">
        <v>100</v>
      </c>
      <c r="G17" s="219">
        <v>2.7</v>
      </c>
      <c r="H17" s="206">
        <f>G17-F17</f>
        <v>-97.3</v>
      </c>
      <c r="I17" s="206">
        <v>100</v>
      </c>
      <c r="J17" s="219">
        <v>3</v>
      </c>
      <c r="K17" s="219">
        <f t="shared" ref="K17:K39" si="5">J17-I17</f>
        <v>-97</v>
      </c>
      <c r="L17" s="219"/>
      <c r="M17" s="219"/>
      <c r="N17" s="219">
        <f>J17</f>
        <v>3</v>
      </c>
      <c r="O17" s="219"/>
      <c r="P17" s="219"/>
      <c r="Q17" s="219">
        <f>J17</f>
        <v>3</v>
      </c>
      <c r="R17" s="219"/>
      <c r="S17" s="219"/>
      <c r="T17" s="220">
        <f t="shared" si="3"/>
        <v>111.7</v>
      </c>
      <c r="U17" s="102" t="s">
        <v>12</v>
      </c>
      <c r="V17" s="542" t="s">
        <v>134</v>
      </c>
      <c r="W17" s="102"/>
      <c r="X17" s="230"/>
    </row>
    <row r="18" spans="1:24" ht="55.5" customHeight="1">
      <c r="A18" s="547"/>
      <c r="B18" s="549"/>
      <c r="C18" s="25">
        <v>2584.5</v>
      </c>
      <c r="D18" s="206">
        <v>2834.5</v>
      </c>
      <c r="E18" s="206">
        <f t="shared" si="4"/>
        <v>250</v>
      </c>
      <c r="F18" s="206">
        <v>2584.5</v>
      </c>
      <c r="G18" s="219" t="e">
        <f>#REF!</f>
        <v>#REF!</v>
      </c>
      <c r="H18" s="206" t="e">
        <f>G18-F18</f>
        <v>#REF!</v>
      </c>
      <c r="I18" s="206">
        <v>2584.5</v>
      </c>
      <c r="J18" s="219">
        <v>2664.9775</v>
      </c>
      <c r="K18" s="219">
        <f t="shared" si="5"/>
        <v>80.477499999999964</v>
      </c>
      <c r="L18" s="219"/>
      <c r="M18" s="219"/>
      <c r="N18" s="219">
        <f>J18</f>
        <v>2664.9775</v>
      </c>
      <c r="O18" s="219"/>
      <c r="P18" s="219"/>
      <c r="Q18" s="219">
        <f>J18</f>
        <v>2664.9775</v>
      </c>
      <c r="R18" s="219"/>
      <c r="S18" s="219"/>
      <c r="T18" s="220" t="e">
        <f t="shared" si="3"/>
        <v>#REF!</v>
      </c>
      <c r="U18" s="102" t="s">
        <v>8</v>
      </c>
      <c r="V18" s="537"/>
      <c r="W18" s="233"/>
      <c r="X18" s="230"/>
    </row>
    <row r="19" spans="1:24" ht="79.5" customHeight="1">
      <c r="A19" s="19" t="s">
        <v>13</v>
      </c>
      <c r="B19" s="210" t="s">
        <v>187</v>
      </c>
      <c r="C19" s="25">
        <v>2358.6999999999998</v>
      </c>
      <c r="D19" s="206">
        <v>1996</v>
      </c>
      <c r="E19" s="206">
        <f t="shared" si="4"/>
        <v>-362.69999999999982</v>
      </c>
      <c r="F19" s="206">
        <v>2056.1</v>
      </c>
      <c r="G19" s="219">
        <v>3413.52</v>
      </c>
      <c r="H19" s="206">
        <f t="shared" ref="H19:H38" si="6">G19-F19</f>
        <v>1357.42</v>
      </c>
      <c r="I19" s="206">
        <v>2056.1</v>
      </c>
      <c r="J19" s="219">
        <v>3321.3</v>
      </c>
      <c r="K19" s="219">
        <f t="shared" si="5"/>
        <v>1265.2000000000003</v>
      </c>
      <c r="L19" s="219">
        <v>3400.68</v>
      </c>
      <c r="M19" s="219">
        <f>L19-J19</f>
        <v>79.379999999999654</v>
      </c>
      <c r="N19" s="219">
        <v>3321.3</v>
      </c>
      <c r="O19" s="219"/>
      <c r="P19" s="219"/>
      <c r="Q19" s="219">
        <v>3321.3</v>
      </c>
      <c r="R19" s="219"/>
      <c r="S19" s="219"/>
      <c r="T19" s="220">
        <f t="shared" si="3"/>
        <v>15373.419999999998</v>
      </c>
      <c r="U19" s="102" t="s">
        <v>12</v>
      </c>
      <c r="V19" s="102" t="s">
        <v>128</v>
      </c>
      <c r="W19" s="102"/>
      <c r="X19" s="230" t="s">
        <v>202</v>
      </c>
    </row>
    <row r="20" spans="1:24" ht="79.5" customHeight="1">
      <c r="A20" s="19" t="s">
        <v>14</v>
      </c>
      <c r="B20" s="210" t="s">
        <v>177</v>
      </c>
      <c r="C20" s="25">
        <v>11117.2</v>
      </c>
      <c r="D20" s="206">
        <v>12059.5</v>
      </c>
      <c r="E20" s="206">
        <f t="shared" si="4"/>
        <v>942.29999999999927</v>
      </c>
      <c r="F20" s="206">
        <v>8452.5</v>
      </c>
      <c r="G20" s="219">
        <v>14827</v>
      </c>
      <c r="H20" s="206">
        <f t="shared" si="6"/>
        <v>6374.5</v>
      </c>
      <c r="I20" s="206">
        <v>8452.5</v>
      </c>
      <c r="J20" s="219">
        <v>14500</v>
      </c>
      <c r="K20" s="219">
        <f t="shared" si="5"/>
        <v>6047.5</v>
      </c>
      <c r="L20" s="219">
        <v>15648.82</v>
      </c>
      <c r="M20" s="219">
        <f>L20-J20</f>
        <v>1148.8199999999997</v>
      </c>
      <c r="N20" s="219">
        <f>J20</f>
        <v>14500</v>
      </c>
      <c r="O20" s="219"/>
      <c r="P20" s="219"/>
      <c r="Q20" s="219">
        <v>14500</v>
      </c>
      <c r="R20" s="219"/>
      <c r="S20" s="219"/>
      <c r="T20" s="220">
        <f t="shared" si="3"/>
        <v>70386.5</v>
      </c>
      <c r="U20" s="102" t="s">
        <v>12</v>
      </c>
      <c r="V20" s="102"/>
      <c r="W20" s="102"/>
      <c r="X20" s="230" t="s">
        <v>203</v>
      </c>
    </row>
    <row r="21" spans="1:24" ht="60.75" customHeight="1">
      <c r="A21" s="19" t="s">
        <v>15</v>
      </c>
      <c r="B21" s="210" t="s">
        <v>196</v>
      </c>
      <c r="C21" s="25">
        <v>3000</v>
      </c>
      <c r="D21" s="206">
        <v>3500</v>
      </c>
      <c r="E21" s="206">
        <f t="shared" si="4"/>
        <v>500</v>
      </c>
      <c r="F21" s="206">
        <v>6000</v>
      </c>
      <c r="G21" s="219" t="e">
        <f>#REF!</f>
        <v>#REF!</v>
      </c>
      <c r="H21" s="206" t="e">
        <f t="shared" si="6"/>
        <v>#REF!</v>
      </c>
      <c r="I21" s="206">
        <v>6000</v>
      </c>
      <c r="J21" s="219">
        <v>5000</v>
      </c>
      <c r="K21" s="219">
        <f t="shared" si="5"/>
        <v>-1000</v>
      </c>
      <c r="L21" s="219"/>
      <c r="M21" s="219"/>
      <c r="N21" s="219">
        <v>5000</v>
      </c>
      <c r="O21" s="219"/>
      <c r="P21" s="219"/>
      <c r="Q21" s="219">
        <v>5000</v>
      </c>
      <c r="R21" s="219"/>
      <c r="S21" s="219"/>
      <c r="T21" s="220" t="e">
        <f t="shared" si="3"/>
        <v>#REF!</v>
      </c>
      <c r="U21" s="102" t="s">
        <v>12</v>
      </c>
      <c r="V21" s="102" t="s">
        <v>135</v>
      </c>
      <c r="W21" s="102"/>
      <c r="X21" s="230"/>
    </row>
    <row r="22" spans="1:24" ht="72.75" customHeight="1">
      <c r="A22" s="19" t="s">
        <v>16</v>
      </c>
      <c r="B22" s="210" t="s">
        <v>178</v>
      </c>
      <c r="C22" s="25">
        <v>5861</v>
      </c>
      <c r="D22" s="206">
        <v>10552.2</v>
      </c>
      <c r="E22" s="206">
        <f t="shared" si="4"/>
        <v>4691.2000000000007</v>
      </c>
      <c r="F22" s="206">
        <v>3371.6</v>
      </c>
      <c r="G22" s="219">
        <v>18953.221000000001</v>
      </c>
      <c r="H22" s="206">
        <f t="shared" si="6"/>
        <v>15581.621000000001</v>
      </c>
      <c r="I22" s="206">
        <v>3371.6</v>
      </c>
      <c r="J22" s="219">
        <f>16720.3-5000</f>
        <v>11720.3</v>
      </c>
      <c r="K22" s="219">
        <f t="shared" si="5"/>
        <v>8348.6999999999989</v>
      </c>
      <c r="L22" s="219">
        <f>J22+M22</f>
        <v>11509.449999999999</v>
      </c>
      <c r="M22" s="219">
        <f>-210.85</f>
        <v>-210.85</v>
      </c>
      <c r="N22" s="219">
        <f>16720.2-5000</f>
        <v>11720.2</v>
      </c>
      <c r="O22" s="219"/>
      <c r="P22" s="219"/>
      <c r="Q22" s="219">
        <f>J22</f>
        <v>11720.3</v>
      </c>
      <c r="R22" s="219"/>
      <c r="S22" s="219"/>
      <c r="T22" s="220">
        <f t="shared" si="3"/>
        <v>64666.221000000005</v>
      </c>
      <c r="U22" s="102" t="s">
        <v>12</v>
      </c>
      <c r="V22" s="231" t="s">
        <v>136</v>
      </c>
      <c r="W22" s="231"/>
      <c r="X22" s="230" t="s">
        <v>204</v>
      </c>
    </row>
    <row r="23" spans="1:24" ht="104.25" customHeight="1">
      <c r="A23" s="19" t="s">
        <v>17</v>
      </c>
      <c r="B23" s="210" t="s">
        <v>190</v>
      </c>
      <c r="C23" s="25">
        <v>566.79999999999995</v>
      </c>
      <c r="D23" s="206">
        <v>566.79999999999995</v>
      </c>
      <c r="E23" s="206">
        <f t="shared" si="4"/>
        <v>0</v>
      </c>
      <c r="F23" s="206">
        <v>0</v>
      </c>
      <c r="G23" s="219" t="e">
        <f>#REF!</f>
        <v>#REF!</v>
      </c>
      <c r="H23" s="206" t="e">
        <f t="shared" si="6"/>
        <v>#REF!</v>
      </c>
      <c r="I23" s="206">
        <v>0</v>
      </c>
      <c r="J23" s="219">
        <v>480</v>
      </c>
      <c r="K23" s="219">
        <f t="shared" si="5"/>
        <v>480</v>
      </c>
      <c r="L23" s="219"/>
      <c r="M23" s="219"/>
      <c r="N23" s="219">
        <f t="shared" ref="N23" si="7">J23</f>
        <v>480</v>
      </c>
      <c r="O23" s="219"/>
      <c r="P23" s="219"/>
      <c r="Q23" s="219">
        <f>J23</f>
        <v>480</v>
      </c>
      <c r="R23" s="219"/>
      <c r="S23" s="219"/>
      <c r="T23" s="220" t="e">
        <f t="shared" si="3"/>
        <v>#REF!</v>
      </c>
      <c r="U23" s="102" t="s">
        <v>12</v>
      </c>
      <c r="V23" s="102"/>
      <c r="W23" s="102"/>
      <c r="X23" s="230"/>
    </row>
    <row r="24" spans="1:24" ht="120" hidden="1" customHeight="1">
      <c r="A24" s="19" t="s">
        <v>18</v>
      </c>
      <c r="B24" s="210" t="s">
        <v>184</v>
      </c>
      <c r="C24" s="25"/>
      <c r="D24" s="206">
        <v>0</v>
      </c>
      <c r="E24" s="206"/>
      <c r="F24" s="206"/>
      <c r="G24" s="219">
        <v>13026.1</v>
      </c>
      <c r="H24" s="206"/>
      <c r="I24" s="206"/>
      <c r="J24" s="219">
        <v>0</v>
      </c>
      <c r="K24" s="219"/>
      <c r="L24" s="219"/>
      <c r="M24" s="219"/>
      <c r="N24" s="219">
        <v>0</v>
      </c>
      <c r="O24" s="219"/>
      <c r="P24" s="219"/>
      <c r="Q24" s="219">
        <v>0</v>
      </c>
      <c r="R24" s="219"/>
      <c r="S24" s="219"/>
      <c r="T24" s="220">
        <f t="shared" si="3"/>
        <v>13026.1</v>
      </c>
      <c r="U24" s="102" t="s">
        <v>12</v>
      </c>
      <c r="V24" s="102"/>
      <c r="W24" s="102"/>
      <c r="X24" s="230"/>
    </row>
    <row r="25" spans="1:24" ht="48" hidden="1">
      <c r="A25" s="557" t="s">
        <v>19</v>
      </c>
      <c r="B25" s="531" t="s">
        <v>189</v>
      </c>
      <c r="C25" s="25"/>
      <c r="D25" s="206">
        <v>0</v>
      </c>
      <c r="E25" s="206"/>
      <c r="F25" s="206"/>
      <c r="G25" s="219">
        <v>0</v>
      </c>
      <c r="H25" s="206"/>
      <c r="I25" s="206"/>
      <c r="J25" s="219">
        <v>3</v>
      </c>
      <c r="K25" s="219"/>
      <c r="L25" s="219"/>
      <c r="M25" s="219"/>
      <c r="N25" s="219">
        <v>0</v>
      </c>
      <c r="O25" s="219"/>
      <c r="P25" s="219"/>
      <c r="Q25" s="219">
        <v>0</v>
      </c>
      <c r="R25" s="219"/>
      <c r="S25" s="219"/>
      <c r="T25" s="220">
        <f t="shared" si="3"/>
        <v>3</v>
      </c>
      <c r="U25" s="102" t="s">
        <v>12</v>
      </c>
      <c r="V25" s="102"/>
      <c r="W25" s="102"/>
      <c r="X25" s="230"/>
    </row>
    <row r="26" spans="1:24" ht="48" hidden="1">
      <c r="A26" s="558"/>
      <c r="B26" s="558"/>
      <c r="C26" s="25"/>
      <c r="D26" s="206">
        <v>0</v>
      </c>
      <c r="E26" s="206"/>
      <c r="F26" s="206"/>
      <c r="G26" s="219">
        <v>0</v>
      </c>
      <c r="H26" s="206"/>
      <c r="I26" s="206"/>
      <c r="J26" s="219">
        <v>761.47577999999999</v>
      </c>
      <c r="K26" s="219"/>
      <c r="L26" s="219"/>
      <c r="M26" s="219"/>
      <c r="N26" s="219">
        <v>0</v>
      </c>
      <c r="O26" s="219"/>
      <c r="P26" s="219"/>
      <c r="Q26" s="219">
        <v>0</v>
      </c>
      <c r="R26" s="219"/>
      <c r="S26" s="219"/>
      <c r="T26" s="220">
        <f t="shared" si="3"/>
        <v>761.47577999999999</v>
      </c>
      <c r="U26" s="102" t="s">
        <v>8</v>
      </c>
      <c r="V26" s="102"/>
      <c r="W26" s="102"/>
      <c r="X26" s="230"/>
    </row>
    <row r="27" spans="1:24" ht="72" hidden="1">
      <c r="A27" s="532"/>
      <c r="B27" s="532"/>
      <c r="C27" s="25"/>
      <c r="D27" s="206">
        <v>0</v>
      </c>
      <c r="E27" s="206"/>
      <c r="F27" s="206"/>
      <c r="G27" s="219">
        <v>0</v>
      </c>
      <c r="H27" s="206"/>
      <c r="I27" s="206"/>
      <c r="J27" s="219">
        <v>2699.7777799999999</v>
      </c>
      <c r="K27" s="219"/>
      <c r="L27" s="219"/>
      <c r="M27" s="219"/>
      <c r="N27" s="219">
        <v>0</v>
      </c>
      <c r="O27" s="219"/>
      <c r="P27" s="219"/>
      <c r="Q27" s="219">
        <v>0</v>
      </c>
      <c r="R27" s="219"/>
      <c r="S27" s="219"/>
      <c r="T27" s="220">
        <f t="shared" si="3"/>
        <v>2699.7777799999999</v>
      </c>
      <c r="U27" s="102" t="s">
        <v>9</v>
      </c>
      <c r="V27" s="102"/>
      <c r="W27" s="102"/>
      <c r="X27" s="230"/>
    </row>
    <row r="28" spans="1:24" s="217" customFormat="1" ht="50.25" hidden="1" customHeight="1">
      <c r="A28" s="564">
        <v>2</v>
      </c>
      <c r="B28" s="569" t="s">
        <v>32</v>
      </c>
      <c r="C28" s="214"/>
      <c r="D28" s="215">
        <v>560</v>
      </c>
      <c r="E28" s="215"/>
      <c r="F28" s="215"/>
      <c r="G28" s="222">
        <v>116</v>
      </c>
      <c r="H28" s="215"/>
      <c r="I28" s="215"/>
      <c r="J28" s="222">
        <v>0</v>
      </c>
      <c r="K28" s="222"/>
      <c r="L28" s="222"/>
      <c r="M28" s="222"/>
      <c r="N28" s="222">
        <v>0</v>
      </c>
      <c r="O28" s="222"/>
      <c r="P28" s="222"/>
      <c r="Q28" s="222">
        <v>0</v>
      </c>
      <c r="R28" s="222"/>
      <c r="S28" s="222"/>
      <c r="T28" s="220">
        <f t="shared" si="3"/>
        <v>676</v>
      </c>
      <c r="U28" s="216" t="s">
        <v>12</v>
      </c>
      <c r="V28" s="216"/>
      <c r="W28" s="216"/>
      <c r="X28" s="230"/>
    </row>
    <row r="29" spans="1:24" s="217" customFormat="1" ht="50.25" hidden="1" customHeight="1">
      <c r="A29" s="565"/>
      <c r="B29" s="570"/>
      <c r="C29" s="214"/>
      <c r="D29" s="215">
        <v>1016.4</v>
      </c>
      <c r="E29" s="215"/>
      <c r="F29" s="215"/>
      <c r="G29" s="222">
        <v>600</v>
      </c>
      <c r="H29" s="215"/>
      <c r="I29" s="215"/>
      <c r="J29" s="222">
        <v>0</v>
      </c>
      <c r="K29" s="222"/>
      <c r="L29" s="222"/>
      <c r="M29" s="222"/>
      <c r="N29" s="222">
        <v>0</v>
      </c>
      <c r="O29" s="222"/>
      <c r="P29" s="222"/>
      <c r="Q29" s="222"/>
      <c r="R29" s="222"/>
      <c r="S29" s="222"/>
      <c r="T29" s="220">
        <f t="shared" si="3"/>
        <v>1616.4</v>
      </c>
      <c r="U29" s="216" t="s">
        <v>8</v>
      </c>
      <c r="V29" s="216"/>
      <c r="W29" s="216"/>
      <c r="X29" s="230"/>
    </row>
    <row r="30" spans="1:24" s="217" customFormat="1" ht="85.5" hidden="1" customHeight="1">
      <c r="A30" s="565"/>
      <c r="B30" s="571"/>
      <c r="C30" s="214"/>
      <c r="D30" s="215">
        <v>6692.4</v>
      </c>
      <c r="E30" s="215"/>
      <c r="F30" s="215"/>
      <c r="G30" s="222">
        <v>2257.1999999999998</v>
      </c>
      <c r="H30" s="215"/>
      <c r="I30" s="215"/>
      <c r="J30" s="222">
        <v>0</v>
      </c>
      <c r="K30" s="222"/>
      <c r="L30" s="222"/>
      <c r="M30" s="222"/>
      <c r="N30" s="222">
        <v>0</v>
      </c>
      <c r="O30" s="222"/>
      <c r="P30" s="222"/>
      <c r="Q30" s="222">
        <v>0</v>
      </c>
      <c r="R30" s="222"/>
      <c r="S30" s="222"/>
      <c r="T30" s="220">
        <f t="shared" si="3"/>
        <v>8949.5999999999985</v>
      </c>
      <c r="U30" s="216" t="s">
        <v>9</v>
      </c>
      <c r="V30" s="216"/>
      <c r="W30" s="216"/>
      <c r="X30" s="230"/>
    </row>
    <row r="31" spans="1:24" s="217" customFormat="1" ht="79.5" hidden="1" customHeight="1">
      <c r="A31" s="566"/>
      <c r="B31" s="218" t="s">
        <v>38</v>
      </c>
      <c r="C31" s="214"/>
      <c r="D31" s="215">
        <f>D28+D29+D30</f>
        <v>8268.7999999999993</v>
      </c>
      <c r="E31" s="215">
        <f t="shared" ref="E31:K31" si="8">E28+E29+E30</f>
        <v>0</v>
      </c>
      <c r="F31" s="215">
        <f t="shared" si="8"/>
        <v>0</v>
      </c>
      <c r="G31" s="222">
        <f t="shared" si="8"/>
        <v>2973.2</v>
      </c>
      <c r="H31" s="215">
        <f t="shared" si="8"/>
        <v>0</v>
      </c>
      <c r="I31" s="215">
        <f t="shared" si="8"/>
        <v>0</v>
      </c>
      <c r="J31" s="222">
        <f t="shared" si="8"/>
        <v>0</v>
      </c>
      <c r="K31" s="222">
        <f t="shared" si="8"/>
        <v>0</v>
      </c>
      <c r="L31" s="222"/>
      <c r="M31" s="222"/>
      <c r="N31" s="222">
        <v>0</v>
      </c>
      <c r="O31" s="222"/>
      <c r="P31" s="222"/>
      <c r="Q31" s="222">
        <v>0</v>
      </c>
      <c r="R31" s="222"/>
      <c r="S31" s="222"/>
      <c r="T31" s="220">
        <f t="shared" si="3"/>
        <v>11242</v>
      </c>
      <c r="U31" s="216"/>
      <c r="V31" s="216"/>
      <c r="W31" s="216" t="s">
        <v>195</v>
      </c>
      <c r="X31" s="230"/>
    </row>
    <row r="32" spans="1:24" ht="37.5" hidden="1" customHeight="1">
      <c r="A32" s="546" t="s">
        <v>48</v>
      </c>
      <c r="B32" s="548" t="s">
        <v>189</v>
      </c>
      <c r="C32" s="25">
        <v>500</v>
      </c>
      <c r="D32" s="206">
        <v>500</v>
      </c>
      <c r="E32" s="206">
        <f t="shared" si="4"/>
        <v>0</v>
      </c>
      <c r="F32" s="206">
        <v>500</v>
      </c>
      <c r="G32" s="219" t="e">
        <f>#REF!</f>
        <v>#REF!</v>
      </c>
      <c r="H32" s="206" t="e">
        <f t="shared" si="6"/>
        <v>#REF!</v>
      </c>
      <c r="I32" s="206">
        <v>0</v>
      </c>
      <c r="J32" s="222">
        <v>0</v>
      </c>
      <c r="K32" s="219">
        <f>J25-I32</f>
        <v>3</v>
      </c>
      <c r="L32" s="219"/>
      <c r="M32" s="219"/>
      <c r="N32" s="219">
        <v>0</v>
      </c>
      <c r="O32" s="219"/>
      <c r="P32" s="219"/>
      <c r="Q32" s="219">
        <v>0</v>
      </c>
      <c r="R32" s="219"/>
      <c r="S32" s="219"/>
      <c r="T32" s="220" t="e">
        <f>D32+G32+J25+N32+Q32</f>
        <v>#REF!</v>
      </c>
      <c r="U32" s="102" t="s">
        <v>12</v>
      </c>
      <c r="V32" s="102"/>
      <c r="W32" s="102"/>
      <c r="X32" s="230"/>
    </row>
    <row r="33" spans="1:24" ht="38.25" hidden="1" customHeight="1">
      <c r="A33" s="547"/>
      <c r="B33" s="549"/>
      <c r="C33" s="25">
        <v>874.6</v>
      </c>
      <c r="D33" s="206">
        <v>874.6</v>
      </c>
      <c r="E33" s="206">
        <f t="shared" si="4"/>
        <v>0</v>
      </c>
      <c r="F33" s="206">
        <v>914.7</v>
      </c>
      <c r="G33" s="219" t="e">
        <f>#REF!</f>
        <v>#REF!</v>
      </c>
      <c r="H33" s="206" t="e">
        <f t="shared" si="6"/>
        <v>#REF!</v>
      </c>
      <c r="I33" s="206">
        <v>0</v>
      </c>
      <c r="J33" s="222">
        <v>0</v>
      </c>
      <c r="K33" s="219">
        <f>J26-I33</f>
        <v>761.47577999999999</v>
      </c>
      <c r="L33" s="219"/>
      <c r="M33" s="219"/>
      <c r="N33" s="219">
        <v>0</v>
      </c>
      <c r="O33" s="219"/>
      <c r="P33" s="219"/>
      <c r="Q33" s="219">
        <v>0</v>
      </c>
      <c r="R33" s="219"/>
      <c r="S33" s="219"/>
      <c r="T33" s="220" t="e">
        <f>D33+G33+J26+N33+Q33</f>
        <v>#REF!</v>
      </c>
      <c r="U33" s="102" t="s">
        <v>8</v>
      </c>
      <c r="V33" s="102"/>
      <c r="W33" s="102"/>
      <c r="X33" s="230"/>
    </row>
    <row r="34" spans="1:24" ht="31.5" hidden="1" customHeight="1">
      <c r="A34" s="547"/>
      <c r="B34" s="549"/>
      <c r="C34" s="25">
        <v>3290.2</v>
      </c>
      <c r="D34" s="206">
        <v>3290.2</v>
      </c>
      <c r="E34" s="206">
        <f t="shared" si="4"/>
        <v>0</v>
      </c>
      <c r="F34" s="206">
        <v>3440.8</v>
      </c>
      <c r="G34" s="219" t="e">
        <f>#REF!</f>
        <v>#REF!</v>
      </c>
      <c r="H34" s="206" t="e">
        <f t="shared" si="6"/>
        <v>#REF!</v>
      </c>
      <c r="I34" s="206">
        <v>0</v>
      </c>
      <c r="J34" s="222">
        <v>0</v>
      </c>
      <c r="K34" s="219">
        <f>J27-I34</f>
        <v>2699.7777799999999</v>
      </c>
      <c r="L34" s="219"/>
      <c r="M34" s="219"/>
      <c r="N34" s="219">
        <v>0</v>
      </c>
      <c r="O34" s="219"/>
      <c r="P34" s="219"/>
      <c r="Q34" s="219">
        <v>0</v>
      </c>
      <c r="R34" s="219"/>
      <c r="S34" s="219"/>
      <c r="T34" s="220" t="e">
        <f>D34+G34+J27+N34+Q34</f>
        <v>#REF!</v>
      </c>
      <c r="U34" s="102" t="s">
        <v>9</v>
      </c>
      <c r="V34" s="102"/>
      <c r="W34" s="102"/>
      <c r="X34" s="230"/>
    </row>
    <row r="35" spans="1:24" ht="72.75" hidden="1" customHeight="1">
      <c r="A35" s="226"/>
      <c r="B35" s="210" t="s">
        <v>60</v>
      </c>
      <c r="C35" s="25">
        <f>C32+C33+C34</f>
        <v>4664.7999999999993</v>
      </c>
      <c r="D35" s="206">
        <f>D32+D33+D34</f>
        <v>4664.7999999999993</v>
      </c>
      <c r="E35" s="206">
        <f t="shared" si="4"/>
        <v>0</v>
      </c>
      <c r="F35" s="206">
        <f>F32+F33+F34</f>
        <v>4855.5</v>
      </c>
      <c r="G35" s="219" t="e">
        <f>G32+G33+G34</f>
        <v>#REF!</v>
      </c>
      <c r="H35" s="206" t="e">
        <f t="shared" si="6"/>
        <v>#REF!</v>
      </c>
      <c r="I35" s="206">
        <f>I32+I33+I34</f>
        <v>0</v>
      </c>
      <c r="J35" s="219">
        <v>0</v>
      </c>
      <c r="K35" s="219">
        <f t="shared" si="5"/>
        <v>0</v>
      </c>
      <c r="L35" s="219"/>
      <c r="M35" s="219"/>
      <c r="N35" s="219">
        <v>0</v>
      </c>
      <c r="O35" s="219"/>
      <c r="P35" s="219"/>
      <c r="Q35" s="219">
        <v>0</v>
      </c>
      <c r="R35" s="219"/>
      <c r="S35" s="219"/>
      <c r="T35" s="220" t="e">
        <f t="shared" ref="T35:T52" si="9">D35+G35+J35+N35+Q35</f>
        <v>#REF!</v>
      </c>
      <c r="U35" s="102"/>
      <c r="V35" s="102"/>
      <c r="W35" s="102"/>
      <c r="X35" s="230"/>
    </row>
    <row r="36" spans="1:24" ht="76.5" hidden="1" customHeight="1">
      <c r="A36" s="546" t="s">
        <v>61</v>
      </c>
      <c r="B36" s="549" t="s">
        <v>179</v>
      </c>
      <c r="C36" s="25">
        <v>60</v>
      </c>
      <c r="D36" s="206">
        <v>60</v>
      </c>
      <c r="E36" s="206">
        <f t="shared" si="4"/>
        <v>0</v>
      </c>
      <c r="F36" s="206">
        <v>62</v>
      </c>
      <c r="G36" s="219" t="e">
        <f>#REF!</f>
        <v>#REF!</v>
      </c>
      <c r="H36" s="206" t="e">
        <f t="shared" si="6"/>
        <v>#REF!</v>
      </c>
      <c r="I36" s="206">
        <v>0</v>
      </c>
      <c r="J36" s="219">
        <v>0</v>
      </c>
      <c r="K36" s="219">
        <f t="shared" si="5"/>
        <v>0</v>
      </c>
      <c r="L36" s="219"/>
      <c r="M36" s="219"/>
      <c r="N36" s="219">
        <v>0</v>
      </c>
      <c r="O36" s="219"/>
      <c r="P36" s="219"/>
      <c r="Q36" s="219">
        <v>0</v>
      </c>
      <c r="R36" s="219"/>
      <c r="S36" s="219"/>
      <c r="T36" s="220" t="e">
        <f t="shared" si="9"/>
        <v>#REF!</v>
      </c>
      <c r="U36" s="102" t="s">
        <v>12</v>
      </c>
      <c r="V36" s="102"/>
      <c r="W36" s="102"/>
      <c r="X36" s="230"/>
    </row>
    <row r="37" spans="1:24" ht="62.25" hidden="1" customHeight="1">
      <c r="A37" s="547"/>
      <c r="B37" s="549"/>
      <c r="C37" s="25">
        <v>141.80000000000001</v>
      </c>
      <c r="D37" s="206">
        <v>141.80000000000001</v>
      </c>
      <c r="E37" s="206">
        <f t="shared" si="4"/>
        <v>0</v>
      </c>
      <c r="F37" s="206">
        <v>147.19999999999999</v>
      </c>
      <c r="G37" s="219" t="e">
        <f>#REF!</f>
        <v>#REF!</v>
      </c>
      <c r="H37" s="206" t="e">
        <f t="shared" si="6"/>
        <v>#REF!</v>
      </c>
      <c r="I37" s="206">
        <v>0</v>
      </c>
      <c r="J37" s="219">
        <v>0</v>
      </c>
      <c r="K37" s="219">
        <f t="shared" si="5"/>
        <v>0</v>
      </c>
      <c r="L37" s="219"/>
      <c r="M37" s="219"/>
      <c r="N37" s="219">
        <v>0</v>
      </c>
      <c r="O37" s="219"/>
      <c r="P37" s="219"/>
      <c r="Q37" s="219">
        <v>0</v>
      </c>
      <c r="R37" s="219"/>
      <c r="S37" s="219"/>
      <c r="T37" s="220" t="e">
        <f t="shared" si="9"/>
        <v>#REF!</v>
      </c>
      <c r="U37" s="102" t="s">
        <v>8</v>
      </c>
      <c r="V37" s="102"/>
      <c r="W37" s="102"/>
      <c r="X37" s="230"/>
    </row>
    <row r="38" spans="1:24" ht="76.5" hidden="1" customHeight="1">
      <c r="A38" s="547"/>
      <c r="B38" s="549"/>
      <c r="C38" s="25">
        <v>3402.2</v>
      </c>
      <c r="D38" s="206">
        <v>3402.2</v>
      </c>
      <c r="E38" s="206">
        <f t="shared" si="4"/>
        <v>0</v>
      </c>
      <c r="F38" s="206">
        <v>3533</v>
      </c>
      <c r="G38" s="219" t="e">
        <f>#REF!</f>
        <v>#REF!</v>
      </c>
      <c r="H38" s="206" t="e">
        <f t="shared" si="6"/>
        <v>#REF!</v>
      </c>
      <c r="I38" s="206">
        <v>0</v>
      </c>
      <c r="J38" s="219">
        <v>0</v>
      </c>
      <c r="K38" s="219">
        <f t="shared" si="5"/>
        <v>0</v>
      </c>
      <c r="L38" s="219"/>
      <c r="M38" s="219"/>
      <c r="N38" s="219">
        <v>0</v>
      </c>
      <c r="O38" s="219"/>
      <c r="P38" s="219"/>
      <c r="Q38" s="219">
        <v>0</v>
      </c>
      <c r="R38" s="219"/>
      <c r="S38" s="219"/>
      <c r="T38" s="220" t="e">
        <f t="shared" si="9"/>
        <v>#REF!</v>
      </c>
      <c r="U38" s="102" t="s">
        <v>9</v>
      </c>
      <c r="V38" s="102"/>
      <c r="W38" s="102"/>
      <c r="X38" s="230"/>
    </row>
    <row r="39" spans="1:24" ht="223.5" hidden="1" customHeight="1">
      <c r="A39" s="226"/>
      <c r="B39" s="210" t="s">
        <v>69</v>
      </c>
      <c r="C39" s="25">
        <f>C36+C37+C38</f>
        <v>3604</v>
      </c>
      <c r="D39" s="206">
        <f t="shared" ref="D39:J39" si="10">D36+D37+D38</f>
        <v>3604</v>
      </c>
      <c r="E39" s="206">
        <f t="shared" si="4"/>
        <v>0</v>
      </c>
      <c r="F39" s="206">
        <f t="shared" si="10"/>
        <v>3742.2</v>
      </c>
      <c r="G39" s="219" t="e">
        <f>#REF!</f>
        <v>#REF!</v>
      </c>
      <c r="H39" s="206" t="e">
        <f t="shared" si="10"/>
        <v>#REF!</v>
      </c>
      <c r="I39" s="206">
        <f t="shared" si="10"/>
        <v>0</v>
      </c>
      <c r="J39" s="219">
        <f t="shared" si="10"/>
        <v>0</v>
      </c>
      <c r="K39" s="219">
        <f t="shared" si="5"/>
        <v>0</v>
      </c>
      <c r="L39" s="219"/>
      <c r="M39" s="219"/>
      <c r="N39" s="219">
        <v>0</v>
      </c>
      <c r="O39" s="219"/>
      <c r="P39" s="219"/>
      <c r="Q39" s="219">
        <v>0</v>
      </c>
      <c r="R39" s="219"/>
      <c r="S39" s="219"/>
      <c r="T39" s="220" t="e">
        <f t="shared" si="9"/>
        <v>#REF!</v>
      </c>
      <c r="U39" s="102"/>
      <c r="V39" s="102"/>
      <c r="W39" s="102"/>
      <c r="X39" s="230"/>
    </row>
    <row r="40" spans="1:24" ht="182.25" customHeight="1">
      <c r="A40" s="550">
        <v>3</v>
      </c>
      <c r="B40" s="552" t="s">
        <v>51</v>
      </c>
      <c r="C40" s="25">
        <v>7251.3</v>
      </c>
      <c r="D40" s="206">
        <v>7506.7</v>
      </c>
      <c r="E40" s="206">
        <f>D40-C40</f>
        <v>255.39999999999964</v>
      </c>
      <c r="F40" s="206">
        <v>6849.6</v>
      </c>
      <c r="G40" s="219">
        <v>10304.700000000001</v>
      </c>
      <c r="H40" s="206">
        <f>G40-F40</f>
        <v>3455.1000000000004</v>
      </c>
      <c r="I40" s="206">
        <v>6849.6</v>
      </c>
      <c r="J40" s="219">
        <v>8194.6</v>
      </c>
      <c r="K40" s="219">
        <f>J40-I40</f>
        <v>1345</v>
      </c>
      <c r="L40" s="219">
        <v>12333.6</v>
      </c>
      <c r="M40" s="219">
        <f>L40-J40</f>
        <v>4139</v>
      </c>
      <c r="N40" s="219">
        <v>8194.6</v>
      </c>
      <c r="O40" s="219"/>
      <c r="P40" s="219"/>
      <c r="Q40" s="219">
        <v>8194.6</v>
      </c>
      <c r="R40" s="219"/>
      <c r="S40" s="219"/>
      <c r="T40" s="220">
        <f t="shared" si="9"/>
        <v>42395.199999999997</v>
      </c>
      <c r="U40" s="102" t="s">
        <v>12</v>
      </c>
      <c r="V40" s="102" t="s">
        <v>137</v>
      </c>
      <c r="W40" s="102" t="s">
        <v>159</v>
      </c>
      <c r="X40" s="230" t="s">
        <v>201</v>
      </c>
    </row>
    <row r="41" spans="1:24" ht="72.75" customHeight="1">
      <c r="A41" s="551"/>
      <c r="B41" s="532"/>
      <c r="C41" s="25"/>
      <c r="D41" s="206">
        <v>0</v>
      </c>
      <c r="E41" s="206"/>
      <c r="F41" s="206"/>
      <c r="G41" s="219">
        <v>250</v>
      </c>
      <c r="H41" s="206"/>
      <c r="I41" s="206"/>
      <c r="J41" s="219">
        <v>0</v>
      </c>
      <c r="K41" s="219"/>
      <c r="L41" s="219"/>
      <c r="M41" s="219"/>
      <c r="N41" s="219">
        <v>0</v>
      </c>
      <c r="O41" s="219"/>
      <c r="P41" s="219"/>
      <c r="Q41" s="219">
        <v>0</v>
      </c>
      <c r="R41" s="219"/>
      <c r="S41" s="219"/>
      <c r="T41" s="220">
        <f t="shared" si="9"/>
        <v>250</v>
      </c>
      <c r="U41" s="102" t="s">
        <v>8</v>
      </c>
      <c r="V41" s="102"/>
      <c r="W41" s="102"/>
      <c r="X41" s="230"/>
    </row>
    <row r="42" spans="1:24" ht="57" hidden="1" customHeight="1">
      <c r="A42" s="192">
        <v>4</v>
      </c>
      <c r="B42" s="228" t="s">
        <v>86</v>
      </c>
      <c r="C42" s="25">
        <f>C43+C44</f>
        <v>40000</v>
      </c>
      <c r="D42" s="206">
        <f>D43+D44</f>
        <v>40000</v>
      </c>
      <c r="E42" s="206">
        <f t="shared" ref="E42:F42" si="11">E43+E44</f>
        <v>0</v>
      </c>
      <c r="F42" s="206">
        <f t="shared" si="11"/>
        <v>0</v>
      </c>
      <c r="G42" s="219" t="e">
        <f>#REF!</f>
        <v>#REF!</v>
      </c>
      <c r="H42" s="206"/>
      <c r="I42" s="206"/>
      <c r="J42" s="219">
        <v>0</v>
      </c>
      <c r="K42" s="219"/>
      <c r="L42" s="219"/>
      <c r="M42" s="219"/>
      <c r="N42" s="219">
        <v>0</v>
      </c>
      <c r="O42" s="219"/>
      <c r="P42" s="219"/>
      <c r="Q42" s="219">
        <v>0</v>
      </c>
      <c r="R42" s="219"/>
      <c r="S42" s="219"/>
      <c r="T42" s="220" t="e">
        <f t="shared" si="9"/>
        <v>#REF!</v>
      </c>
      <c r="U42" s="102"/>
      <c r="V42" s="102"/>
      <c r="W42" s="102" t="s">
        <v>159</v>
      </c>
      <c r="X42" s="230"/>
    </row>
    <row r="43" spans="1:24" ht="117" hidden="1" customHeight="1">
      <c r="A43" s="539" t="s">
        <v>54</v>
      </c>
      <c r="B43" s="540" t="s">
        <v>182</v>
      </c>
      <c r="C43" s="25">
        <v>40</v>
      </c>
      <c r="D43" s="206">
        <v>40</v>
      </c>
      <c r="E43" s="206"/>
      <c r="F43" s="206">
        <v>0</v>
      </c>
      <c r="G43" s="219" t="e">
        <f>#REF!</f>
        <v>#REF!</v>
      </c>
      <c r="H43" s="206"/>
      <c r="I43" s="206">
        <v>0</v>
      </c>
      <c r="J43" s="219">
        <v>0</v>
      </c>
      <c r="K43" s="219"/>
      <c r="L43" s="219"/>
      <c r="M43" s="219"/>
      <c r="N43" s="219">
        <v>0</v>
      </c>
      <c r="O43" s="219"/>
      <c r="P43" s="219"/>
      <c r="Q43" s="219">
        <v>0</v>
      </c>
      <c r="R43" s="219"/>
      <c r="S43" s="219"/>
      <c r="T43" s="220" t="e">
        <f t="shared" si="9"/>
        <v>#REF!</v>
      </c>
      <c r="U43" s="102" t="str">
        <f>U40</f>
        <v>Бюджет ЗГО</v>
      </c>
      <c r="V43" s="102"/>
      <c r="W43" s="102"/>
      <c r="X43" s="230"/>
    </row>
    <row r="44" spans="1:24" ht="117" hidden="1" customHeight="1">
      <c r="A44" s="539"/>
      <c r="B44" s="541"/>
      <c r="C44" s="25">
        <v>39960</v>
      </c>
      <c r="D44" s="206">
        <v>39960</v>
      </c>
      <c r="E44" s="206"/>
      <c r="F44" s="206">
        <v>0</v>
      </c>
      <c r="G44" s="219" t="e">
        <f>#REF!</f>
        <v>#REF!</v>
      </c>
      <c r="H44" s="206"/>
      <c r="I44" s="206">
        <v>0</v>
      </c>
      <c r="J44" s="219">
        <v>0</v>
      </c>
      <c r="K44" s="219"/>
      <c r="L44" s="219"/>
      <c r="M44" s="219"/>
      <c r="N44" s="219">
        <v>0</v>
      </c>
      <c r="O44" s="219"/>
      <c r="P44" s="219"/>
      <c r="Q44" s="219">
        <v>0</v>
      </c>
      <c r="R44" s="219"/>
      <c r="S44" s="219"/>
      <c r="T44" s="220" t="e">
        <f t="shared" si="9"/>
        <v>#REF!</v>
      </c>
      <c r="U44" s="102" t="str">
        <f>U37</f>
        <v>Областной бюджет</v>
      </c>
      <c r="V44" s="102"/>
      <c r="W44" s="102"/>
      <c r="X44" s="230"/>
    </row>
    <row r="45" spans="1:24" ht="107.25" hidden="1" customHeight="1">
      <c r="A45" s="192">
        <v>5</v>
      </c>
      <c r="B45" s="210" t="s">
        <v>100</v>
      </c>
      <c r="C45" s="25">
        <f>C46+C47</f>
        <v>87588.9</v>
      </c>
      <c r="D45" s="206">
        <f>D46</f>
        <v>84088.9</v>
      </c>
      <c r="E45" s="206">
        <f t="shared" ref="E45:F45" si="12">E46</f>
        <v>0</v>
      </c>
      <c r="F45" s="206">
        <f t="shared" si="12"/>
        <v>0</v>
      </c>
      <c r="G45" s="219" t="e">
        <f>G46+G47+G48</f>
        <v>#REF!</v>
      </c>
      <c r="H45" s="219">
        <f t="shared" ref="H45:Q45" si="13">H46+H47+H48</f>
        <v>0</v>
      </c>
      <c r="I45" s="219">
        <f t="shared" si="13"/>
        <v>0</v>
      </c>
      <c r="J45" s="219">
        <f t="shared" si="13"/>
        <v>0</v>
      </c>
      <c r="K45" s="219">
        <f t="shared" si="13"/>
        <v>0</v>
      </c>
      <c r="L45" s="219"/>
      <c r="M45" s="219"/>
      <c r="N45" s="219">
        <f t="shared" si="13"/>
        <v>32000</v>
      </c>
      <c r="O45" s="219">
        <f>N45+P45</f>
        <v>0</v>
      </c>
      <c r="P45" s="219">
        <f>-32000</f>
        <v>-32000</v>
      </c>
      <c r="Q45" s="219">
        <f t="shared" si="13"/>
        <v>97221.21</v>
      </c>
      <c r="R45" s="219">
        <f>Q45+S45</f>
        <v>0</v>
      </c>
      <c r="S45" s="219">
        <v>-97221.21</v>
      </c>
      <c r="T45" s="220" t="e">
        <f t="shared" si="9"/>
        <v>#REF!</v>
      </c>
      <c r="V45" s="102"/>
      <c r="W45" s="225" t="s">
        <v>193</v>
      </c>
      <c r="X45" s="554" t="s">
        <v>214</v>
      </c>
    </row>
    <row r="46" spans="1:24" ht="140.25" hidden="1" customHeight="1">
      <c r="A46" s="227" t="s">
        <v>123</v>
      </c>
      <c r="B46" s="228" t="s">
        <v>180</v>
      </c>
      <c r="C46" s="25">
        <f>87588.9-3500</f>
        <v>84088.9</v>
      </c>
      <c r="D46" s="206">
        <v>84088.9</v>
      </c>
      <c r="E46" s="206"/>
      <c r="F46" s="206">
        <v>0</v>
      </c>
      <c r="G46" s="219" t="e">
        <f>#REF!</f>
        <v>#REF!</v>
      </c>
      <c r="H46" s="206"/>
      <c r="I46" s="206">
        <v>0</v>
      </c>
      <c r="J46" s="219">
        <v>0</v>
      </c>
      <c r="K46" s="219"/>
      <c r="L46" s="219"/>
      <c r="M46" s="219"/>
      <c r="N46" s="219">
        <v>0</v>
      </c>
      <c r="O46" s="219"/>
      <c r="P46" s="219"/>
      <c r="Q46" s="219"/>
      <c r="R46" s="219"/>
      <c r="S46" s="219"/>
      <c r="T46" s="220" t="e">
        <f t="shared" si="9"/>
        <v>#REF!</v>
      </c>
      <c r="U46" s="102" t="s">
        <v>99</v>
      </c>
      <c r="V46" s="102"/>
      <c r="W46" s="102" t="s">
        <v>159</v>
      </c>
      <c r="X46" s="555"/>
    </row>
    <row r="47" spans="1:24" ht="39" hidden="1" customHeight="1">
      <c r="A47" s="539" t="s">
        <v>124</v>
      </c>
      <c r="B47" s="540" t="s">
        <v>181</v>
      </c>
      <c r="C47" s="25">
        <v>3500</v>
      </c>
      <c r="D47" s="206">
        <v>0</v>
      </c>
      <c r="E47" s="206"/>
      <c r="F47" s="206">
        <v>0</v>
      </c>
      <c r="G47" s="219" t="e">
        <f>#REF!</f>
        <v>#REF!</v>
      </c>
      <c r="H47" s="206"/>
      <c r="I47" s="206">
        <v>0</v>
      </c>
      <c r="J47" s="219">
        <v>0</v>
      </c>
      <c r="K47" s="219"/>
      <c r="L47" s="219"/>
      <c r="M47" s="219"/>
      <c r="N47" s="219">
        <v>0</v>
      </c>
      <c r="O47" s="219"/>
      <c r="P47" s="219"/>
      <c r="Q47" s="219">
        <v>0</v>
      </c>
      <c r="R47" s="219"/>
      <c r="S47" s="219"/>
      <c r="T47" s="220" t="e">
        <f t="shared" si="9"/>
        <v>#REF!</v>
      </c>
      <c r="U47" s="102" t="s">
        <v>99</v>
      </c>
      <c r="V47" s="102"/>
      <c r="W47" s="544" t="str">
        <f>W46</f>
        <v>МКУ УФКиС ЗГО</v>
      </c>
      <c r="X47" s="555"/>
    </row>
    <row r="48" spans="1:24" ht="110.25" customHeight="1">
      <c r="A48" s="530"/>
      <c r="B48" s="541"/>
      <c r="C48" s="25"/>
      <c r="D48" s="206">
        <v>0</v>
      </c>
      <c r="E48" s="206"/>
      <c r="F48" s="206"/>
      <c r="G48" s="219" t="e">
        <f>#REF!</f>
        <v>#REF!</v>
      </c>
      <c r="H48" s="206"/>
      <c r="I48" s="206"/>
      <c r="J48" s="219">
        <v>0</v>
      </c>
      <c r="K48" s="219"/>
      <c r="L48" s="219"/>
      <c r="M48" s="219"/>
      <c r="N48" s="219">
        <v>32000</v>
      </c>
      <c r="O48" s="219">
        <f>N48+P48</f>
        <v>0</v>
      </c>
      <c r="P48" s="219">
        <f>-32000</f>
        <v>-32000</v>
      </c>
      <c r="Q48" s="219">
        <v>97221.21</v>
      </c>
      <c r="R48" s="219">
        <f>Q48+S48</f>
        <v>0</v>
      </c>
      <c r="S48" s="219">
        <f>-97221.21</f>
        <v>-97221.21</v>
      </c>
      <c r="T48" s="220" t="e">
        <f t="shared" si="9"/>
        <v>#REF!</v>
      </c>
      <c r="U48" s="102" t="s">
        <v>133</v>
      </c>
      <c r="V48" s="102"/>
      <c r="W48" s="537"/>
      <c r="X48" s="555"/>
    </row>
    <row r="49" spans="1:24" s="88" customFormat="1" ht="40.5" hidden="1" customHeight="1">
      <c r="A49" s="193"/>
      <c r="B49" s="192" t="s">
        <v>20</v>
      </c>
      <c r="C49" s="37" t="e">
        <f>C10+#REF!+C40+C43+C46+C47</f>
        <v>#REF!</v>
      </c>
      <c r="D49" s="206">
        <f>D10+D28+D40+D43+D46</f>
        <v>120970.09999999999</v>
      </c>
      <c r="E49" s="206" t="e">
        <f>E10+#REF!+E40+E43+E46</f>
        <v>#REF!</v>
      </c>
      <c r="F49" s="206" t="e">
        <f>F10+#REF!+F40+F43+F46</f>
        <v>#REF!</v>
      </c>
      <c r="G49" s="219">
        <v>62273.241000000002</v>
      </c>
      <c r="H49" s="206" t="e">
        <f>H10+#REF!+H40+H43+H46</f>
        <v>#REF!</v>
      </c>
      <c r="I49" s="206" t="e">
        <f>I10+#REF!+I40+I43+I46</f>
        <v>#REF!</v>
      </c>
      <c r="J49" s="219">
        <f>J10+J40+J43+J45</f>
        <v>43222.2</v>
      </c>
      <c r="K49" s="219">
        <f>K10+K40+K43+K45</f>
        <v>1345</v>
      </c>
      <c r="L49" s="219"/>
      <c r="M49" s="219"/>
      <c r="N49" s="219">
        <f>N10+N40+N43</f>
        <v>43219.1</v>
      </c>
      <c r="O49" s="219"/>
      <c r="P49" s="219"/>
      <c r="Q49" s="219">
        <f>Q10+Q40+Q43</f>
        <v>43219.199999999997</v>
      </c>
      <c r="R49" s="219"/>
      <c r="S49" s="219"/>
      <c r="T49" s="220">
        <f t="shared" si="9"/>
        <v>312903.84099999996</v>
      </c>
      <c r="U49" s="193"/>
      <c r="V49" s="122"/>
      <c r="W49" s="122"/>
      <c r="X49" s="555"/>
    </row>
    <row r="50" spans="1:24" s="88" customFormat="1" ht="53.25" hidden="1" customHeight="1">
      <c r="A50" s="204"/>
      <c r="B50" s="102" t="s">
        <v>21</v>
      </c>
      <c r="C50" s="37" t="e">
        <f>C11+C44+#REF!</f>
        <v>#REF!</v>
      </c>
      <c r="D50" s="206">
        <f>D11+D44+D29</f>
        <v>43810.9</v>
      </c>
      <c r="E50" s="206" t="e">
        <f>E11+E44+#REF!</f>
        <v>#REF!</v>
      </c>
      <c r="F50" s="206" t="e">
        <f>F11+F44+#REF!</f>
        <v>#REF!</v>
      </c>
      <c r="G50" s="219">
        <v>3584.7</v>
      </c>
      <c r="H50" s="206" t="e">
        <f>H11+H44+#REF!</f>
        <v>#REF!</v>
      </c>
      <c r="I50" s="206" t="e">
        <f>I11+I44+#REF!</f>
        <v>#REF!</v>
      </c>
      <c r="J50" s="219">
        <f>J11</f>
        <v>3426.4532799999997</v>
      </c>
      <c r="K50" s="219">
        <f>K11</f>
        <v>841.95327999999995</v>
      </c>
      <c r="L50" s="219"/>
      <c r="M50" s="219"/>
      <c r="N50" s="219">
        <f>N11+N45</f>
        <v>34664.977500000001</v>
      </c>
      <c r="O50" s="219"/>
      <c r="P50" s="219"/>
      <c r="Q50" s="219">
        <f>Q11+Q48</f>
        <v>99886.1875</v>
      </c>
      <c r="R50" s="219"/>
      <c r="S50" s="219"/>
      <c r="T50" s="220">
        <f t="shared" si="9"/>
        <v>185373.21828</v>
      </c>
      <c r="U50" s="193"/>
      <c r="V50" s="122"/>
      <c r="W50" s="122"/>
      <c r="X50" s="555"/>
    </row>
    <row r="51" spans="1:24" s="88" customFormat="1" ht="45" hidden="1" customHeight="1">
      <c r="A51" s="193"/>
      <c r="B51" s="102" t="s">
        <v>9</v>
      </c>
      <c r="C51" s="37" t="e">
        <f>#REF!</f>
        <v>#REF!</v>
      </c>
      <c r="D51" s="206">
        <f>D30</f>
        <v>6692.4</v>
      </c>
      <c r="E51" s="206" t="e">
        <f>#REF!</f>
        <v>#REF!</v>
      </c>
      <c r="F51" s="206" t="e">
        <f>#REF!</f>
        <v>#REF!</v>
      </c>
      <c r="G51" s="219">
        <v>2257.1999999999998</v>
      </c>
      <c r="H51" s="206" t="e">
        <f>#REF!</f>
        <v>#REF!</v>
      </c>
      <c r="I51" s="206" t="e">
        <f>#REF!</f>
        <v>#REF!</v>
      </c>
      <c r="J51" s="219">
        <f>J12</f>
        <v>2699.7777799999999</v>
      </c>
      <c r="K51" s="219">
        <f>K12</f>
        <v>0</v>
      </c>
      <c r="L51" s="219"/>
      <c r="M51" s="219"/>
      <c r="N51" s="219">
        <f>N12</f>
        <v>0</v>
      </c>
      <c r="O51" s="219"/>
      <c r="P51" s="219"/>
      <c r="Q51" s="219">
        <f>Q12</f>
        <v>0</v>
      </c>
      <c r="R51" s="219"/>
      <c r="S51" s="219"/>
      <c r="T51" s="220">
        <f t="shared" si="9"/>
        <v>11649.377779999999</v>
      </c>
      <c r="U51" s="193"/>
      <c r="V51" s="122"/>
      <c r="W51" s="122"/>
      <c r="X51" s="555"/>
    </row>
    <row r="52" spans="1:24" s="88" customFormat="1" ht="53.25" hidden="1" customHeight="1">
      <c r="A52" s="193"/>
      <c r="B52" s="192" t="s">
        <v>22</v>
      </c>
      <c r="C52" s="37" t="e">
        <f>C49+C50+C51</f>
        <v>#REF!</v>
      </c>
      <c r="D52" s="206">
        <f t="shared" ref="D52:H52" si="14">D49+D50+D51</f>
        <v>171473.4</v>
      </c>
      <c r="E52" s="206" t="e">
        <f t="shared" si="14"/>
        <v>#REF!</v>
      </c>
      <c r="F52" s="206" t="e">
        <f t="shared" si="14"/>
        <v>#REF!</v>
      </c>
      <c r="G52" s="219">
        <f>G49+G50+G51</f>
        <v>68115.141000000003</v>
      </c>
      <c r="H52" s="206" t="e">
        <f t="shared" si="14"/>
        <v>#REF!</v>
      </c>
      <c r="I52" s="206" t="e">
        <f>I49+I50+I51</f>
        <v>#REF!</v>
      </c>
      <c r="J52" s="219">
        <f>J49+J50+J51</f>
        <v>49348.431059999995</v>
      </c>
      <c r="K52" s="219">
        <f t="shared" ref="K52:Q52" si="15">K49+K50+K51</f>
        <v>2186.9532799999997</v>
      </c>
      <c r="L52" s="219"/>
      <c r="M52" s="219"/>
      <c r="N52" s="219">
        <f t="shared" si="15"/>
        <v>77884.077499999999</v>
      </c>
      <c r="O52" s="219"/>
      <c r="P52" s="219"/>
      <c r="Q52" s="219">
        <f t="shared" si="15"/>
        <v>143105.38750000001</v>
      </c>
      <c r="R52" s="219"/>
      <c r="S52" s="219"/>
      <c r="T52" s="220">
        <f t="shared" si="9"/>
        <v>509926.43706000003</v>
      </c>
      <c r="U52" s="211"/>
      <c r="V52" s="124"/>
      <c r="W52" s="124"/>
      <c r="X52" s="555"/>
    </row>
    <row r="53" spans="1:24" s="88" customFormat="1" ht="51.75" hidden="1" customHeight="1">
      <c r="A53" s="193"/>
      <c r="B53" s="192" t="s">
        <v>132</v>
      </c>
      <c r="C53" s="37"/>
      <c r="D53" s="206">
        <v>171473.4</v>
      </c>
      <c r="E53" s="206"/>
      <c r="F53" s="206"/>
      <c r="G53" s="206">
        <v>89438.2</v>
      </c>
      <c r="H53" s="206"/>
      <c r="I53" s="206"/>
      <c r="J53" s="206">
        <v>54504.781060000001</v>
      </c>
      <c r="K53" s="206"/>
      <c r="L53" s="206"/>
      <c r="M53" s="206"/>
      <c r="N53" s="206">
        <v>69781.469500000007</v>
      </c>
      <c r="O53" s="206"/>
      <c r="P53" s="206"/>
      <c r="Q53" s="206">
        <v>143202.70749999999</v>
      </c>
      <c r="R53" s="206"/>
      <c r="S53" s="206"/>
      <c r="T53" s="238"/>
      <c r="U53" s="211"/>
      <c r="V53" s="124"/>
      <c r="W53" s="124"/>
      <c r="X53" s="555"/>
    </row>
    <row r="54" spans="1:24" s="88" customFormat="1" ht="51.75" hidden="1" customHeight="1">
      <c r="A54" s="193"/>
      <c r="B54" s="192" t="s">
        <v>132</v>
      </c>
      <c r="C54" s="37"/>
      <c r="D54" s="206">
        <f>D53-D52</f>
        <v>0</v>
      </c>
      <c r="E54" s="206"/>
      <c r="F54" s="206"/>
      <c r="G54" s="206">
        <f>G53-G52</f>
        <v>21323.058999999994</v>
      </c>
      <c r="H54" s="206"/>
      <c r="I54" s="206"/>
      <c r="J54" s="206">
        <f t="shared" ref="J54:N54" si="16">J53-J52</f>
        <v>5156.3500000000058</v>
      </c>
      <c r="K54" s="206"/>
      <c r="L54" s="206"/>
      <c r="M54" s="206"/>
      <c r="N54" s="206">
        <f t="shared" si="16"/>
        <v>-8102.6079999999929</v>
      </c>
      <c r="O54" s="206"/>
      <c r="P54" s="206"/>
      <c r="Q54" s="206">
        <f>Q53-Q52</f>
        <v>97.319999999977881</v>
      </c>
      <c r="R54" s="206"/>
      <c r="S54" s="206"/>
      <c r="T54" s="238"/>
      <c r="U54" s="211"/>
      <c r="V54" s="124"/>
      <c r="W54" s="124"/>
      <c r="X54" s="555"/>
    </row>
    <row r="55" spans="1:24" s="88" customFormat="1" ht="51.75" customHeight="1">
      <c r="A55" s="193"/>
      <c r="B55" s="553" t="s">
        <v>208</v>
      </c>
      <c r="C55" s="37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>
        <v>0</v>
      </c>
      <c r="O55" s="206">
        <f>'Прил 1 '!L54</f>
        <v>32.4</v>
      </c>
      <c r="P55" s="206">
        <f>N55+O55</f>
        <v>32.4</v>
      </c>
      <c r="Q55" s="206">
        <v>0</v>
      </c>
      <c r="R55" s="206">
        <f>'Прил 1 '!M54</f>
        <v>97.32</v>
      </c>
      <c r="S55" s="206">
        <f>R55+R56</f>
        <v>97415.85</v>
      </c>
      <c r="T55" s="238"/>
      <c r="U55" s="282" t="s">
        <v>12</v>
      </c>
      <c r="V55" s="124"/>
      <c r="W55" s="124"/>
      <c r="X55" s="555"/>
    </row>
    <row r="56" spans="1:24" s="88" customFormat="1" ht="102" customHeight="1">
      <c r="A56" s="193"/>
      <c r="B56" s="532"/>
      <c r="C56" s="37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>
        <v>0</v>
      </c>
      <c r="O56" s="206">
        <f>'Прил 1 '!L55</f>
        <v>23897.392</v>
      </c>
      <c r="P56" s="206">
        <f>N56+O56</f>
        <v>23897.392</v>
      </c>
      <c r="Q56" s="206">
        <v>0</v>
      </c>
      <c r="R56" s="206">
        <f>'Прил 1 '!M55</f>
        <v>97318.53</v>
      </c>
      <c r="S56" s="206">
        <f>R56+R57</f>
        <v>97318.53</v>
      </c>
      <c r="T56" s="238"/>
      <c r="U56" s="282" t="s">
        <v>133</v>
      </c>
      <c r="V56" s="124"/>
      <c r="W56" s="124"/>
      <c r="X56" s="556"/>
    </row>
    <row r="57" spans="1:24" s="183" customFormat="1" ht="58.5" customHeight="1">
      <c r="A57" s="545" t="s">
        <v>23</v>
      </c>
      <c r="B57" s="545"/>
      <c r="C57" s="545"/>
      <c r="D57" s="545"/>
      <c r="E57" s="545"/>
      <c r="F57" s="545"/>
      <c r="G57" s="545"/>
      <c r="H57" s="545"/>
      <c r="I57" s="545"/>
      <c r="J57" s="545"/>
      <c r="K57" s="545"/>
      <c r="L57" s="545"/>
      <c r="M57" s="545"/>
      <c r="N57" s="545"/>
      <c r="O57" s="545"/>
      <c r="P57" s="545"/>
      <c r="Q57" s="545"/>
      <c r="R57" s="545"/>
      <c r="S57" s="545"/>
      <c r="T57" s="545"/>
      <c r="U57" s="545"/>
      <c r="V57" s="545"/>
      <c r="W57" s="545"/>
      <c r="X57" s="545"/>
    </row>
    <row r="58" spans="1:24" s="90" customFormat="1" ht="70.5" customHeight="1">
      <c r="A58" s="538" t="s">
        <v>56</v>
      </c>
      <c r="B58" s="538"/>
      <c r="C58" s="538"/>
      <c r="D58" s="538"/>
      <c r="E58" s="538"/>
      <c r="F58" s="538"/>
      <c r="G58" s="538"/>
      <c r="H58" s="538"/>
      <c r="I58" s="538"/>
      <c r="J58" s="538"/>
      <c r="K58" s="538"/>
      <c r="L58" s="538"/>
      <c r="M58" s="538"/>
      <c r="N58" s="538"/>
      <c r="O58" s="538"/>
      <c r="P58" s="538"/>
      <c r="Q58" s="538"/>
      <c r="R58" s="538"/>
      <c r="S58" s="538"/>
      <c r="T58" s="538"/>
      <c r="U58" s="538"/>
      <c r="V58" s="538"/>
      <c r="W58" s="538"/>
      <c r="X58" s="230" t="s">
        <v>215</v>
      </c>
    </row>
    <row r="59" spans="1:24" s="90" customFormat="1" ht="47.25" customHeight="1">
      <c r="A59" s="543" t="s">
        <v>50</v>
      </c>
      <c r="B59" s="543"/>
      <c r="C59" s="543"/>
      <c r="D59" s="543"/>
      <c r="E59" s="543"/>
      <c r="F59" s="543"/>
      <c r="G59" s="543"/>
      <c r="H59" s="543"/>
      <c r="I59" s="543"/>
      <c r="J59" s="543"/>
      <c r="K59" s="543"/>
      <c r="L59" s="543"/>
      <c r="M59" s="543"/>
      <c r="N59" s="543"/>
      <c r="O59" s="543"/>
      <c r="P59" s="543"/>
      <c r="Q59" s="543"/>
      <c r="R59" s="543"/>
      <c r="S59" s="543"/>
      <c r="T59" s="543"/>
      <c r="U59" s="543"/>
      <c r="V59" s="543"/>
      <c r="W59" s="543"/>
      <c r="X59" s="230"/>
    </row>
    <row r="60" spans="1:24" ht="102.75" customHeight="1">
      <c r="A60" s="192">
        <v>6</v>
      </c>
      <c r="B60" s="102" t="s">
        <v>34</v>
      </c>
      <c r="C60" s="46">
        <f>C61+C62+C63+C64+C65+C66+C67+C68+C69+C70+C71+C72+C73+C74+C75+C76+C77+C78+C79</f>
        <v>392936.81</v>
      </c>
      <c r="D60" s="206">
        <f>D61+D62+D63+D64+D65+D66+D67+D68+D69+D70+D71+D72+D73+D74+D75+D76+D77+D78+D79</f>
        <v>431644.31</v>
      </c>
      <c r="E60" s="206">
        <f>D60-C60</f>
        <v>38707.5</v>
      </c>
      <c r="F60" s="206">
        <f>F86</f>
        <v>225157.4</v>
      </c>
      <c r="G60" s="219">
        <f>G61+G62+G63+G64+G65+G66+G67+G68+G69+G70+G71+G72+G73+G74+G75+G77+G78+G76+G79+G80+G81+G82+G83</f>
        <v>597252.60576000006</v>
      </c>
      <c r="H60" s="206">
        <f>H86</f>
        <v>477459.15575999999</v>
      </c>
      <c r="I60" s="206">
        <f>I86</f>
        <v>225157.4</v>
      </c>
      <c r="J60" s="219">
        <f>J61+J62+J63+J64+J65+J66+J67+J68+J69+J70+J71+J72+J73+J74+J75+J76+J77+J78+J79+J80+J81+J82+J83</f>
        <v>306101.83999999991</v>
      </c>
      <c r="K60" s="219">
        <f t="shared" ref="K60:Q60" si="17">K61+K62+K63+K64+K65+K66+K67+K68+K69+K70+K71+K72+K73+K74+K75+K76+K77+K78+K79+K80+K81+K82+K83</f>
        <v>79984.820000000022</v>
      </c>
      <c r="L60" s="219"/>
      <c r="M60" s="219"/>
      <c r="N60" s="219">
        <f t="shared" si="17"/>
        <v>301362.49999999994</v>
      </c>
      <c r="O60" s="219"/>
      <c r="P60" s="219"/>
      <c r="Q60" s="219">
        <f t="shared" si="17"/>
        <v>301362.49999999994</v>
      </c>
      <c r="R60" s="219"/>
      <c r="S60" s="219"/>
      <c r="T60" s="220">
        <f t="shared" ref="T60:T88" si="18">D60+G60+J60+N60+Q60</f>
        <v>1937723.7557599999</v>
      </c>
      <c r="U60" s="102"/>
      <c r="V60" s="102"/>
      <c r="W60" s="102" t="s">
        <v>159</v>
      </c>
      <c r="X60" s="230"/>
    </row>
    <row r="61" spans="1:24" ht="162.75" customHeight="1">
      <c r="A61" s="198" t="s">
        <v>145</v>
      </c>
      <c r="B61" s="102" t="s">
        <v>168</v>
      </c>
      <c r="C61" s="46">
        <f>280315.1-C64</f>
        <v>265773.09999999998</v>
      </c>
      <c r="D61" s="206">
        <f>431644.31-149979.36</f>
        <v>281664.95</v>
      </c>
      <c r="E61" s="206">
        <f>D61-C61</f>
        <v>15891.850000000035</v>
      </c>
      <c r="F61" s="206">
        <f>207874.7-F64</f>
        <v>195457</v>
      </c>
      <c r="G61" s="219">
        <v>288637.95</v>
      </c>
      <c r="H61" s="206">
        <f>207874.7-H64</f>
        <v>198544.90000000002</v>
      </c>
      <c r="I61" s="206">
        <f>207874.7-I64</f>
        <v>195457</v>
      </c>
      <c r="J61" s="219">
        <v>266364.5</v>
      </c>
      <c r="K61" s="219">
        <f t="shared" ref="K61:K77" si="19">J61-I61</f>
        <v>70907.5</v>
      </c>
      <c r="L61" s="219">
        <f>M61-J61</f>
        <v>8445.7800000000279</v>
      </c>
      <c r="M61" s="219">
        <v>274810.28000000003</v>
      </c>
      <c r="N61" s="219">
        <f>J61</f>
        <v>266364.5</v>
      </c>
      <c r="O61" s="219"/>
      <c r="P61" s="219"/>
      <c r="Q61" s="219">
        <v>266364.5</v>
      </c>
      <c r="R61" s="219"/>
      <c r="S61" s="219"/>
      <c r="T61" s="220">
        <f t="shared" si="18"/>
        <v>1369396.4</v>
      </c>
      <c r="U61" s="102" t="s">
        <v>12</v>
      </c>
      <c r="V61" s="102" t="s">
        <v>129</v>
      </c>
      <c r="W61" s="102"/>
      <c r="X61" s="230" t="s">
        <v>219</v>
      </c>
    </row>
    <row r="62" spans="1:24" ht="390" customHeight="1">
      <c r="A62" s="198" t="s">
        <v>146</v>
      </c>
      <c r="B62" s="225" t="s">
        <v>35</v>
      </c>
      <c r="C62" s="46">
        <v>87783.58</v>
      </c>
      <c r="D62" s="206">
        <v>107807.03</v>
      </c>
      <c r="E62" s="206">
        <f t="shared" ref="E62:E86" si="20">D62-C62</f>
        <v>20023.449999999997</v>
      </c>
      <c r="F62" s="206">
        <v>4172.5</v>
      </c>
      <c r="G62" s="219">
        <v>167317.48965999999</v>
      </c>
      <c r="H62" s="206">
        <f>G62-F62</f>
        <v>163144.98965999999</v>
      </c>
      <c r="I62" s="206">
        <v>4172.5</v>
      </c>
      <c r="J62" s="219">
        <v>5347.1</v>
      </c>
      <c r="K62" s="219">
        <f t="shared" si="19"/>
        <v>1174.6000000000004</v>
      </c>
      <c r="L62" s="219">
        <f>M62-J62</f>
        <v>26923.46</v>
      </c>
      <c r="M62" s="219">
        <v>32270.560000000001</v>
      </c>
      <c r="N62" s="219">
        <v>0</v>
      </c>
      <c r="O62" s="219"/>
      <c r="P62" s="219"/>
      <c r="Q62" s="219">
        <v>0</v>
      </c>
      <c r="R62" s="219"/>
      <c r="S62" s="219"/>
      <c r="T62" s="220">
        <f t="shared" si="18"/>
        <v>280471.61965999997</v>
      </c>
      <c r="U62" s="102" t="s">
        <v>12</v>
      </c>
      <c r="V62" s="102" t="s">
        <v>138</v>
      </c>
      <c r="W62" s="102"/>
      <c r="X62" s="230" t="s">
        <v>218</v>
      </c>
    </row>
    <row r="63" spans="1:24" ht="69" customHeight="1">
      <c r="A63" s="198" t="s">
        <v>147</v>
      </c>
      <c r="B63" s="225" t="s">
        <v>169</v>
      </c>
      <c r="C63" s="46">
        <v>3000</v>
      </c>
      <c r="D63" s="206">
        <v>3000</v>
      </c>
      <c r="E63" s="206">
        <f t="shared" si="20"/>
        <v>0</v>
      </c>
      <c r="F63" s="206">
        <v>4500</v>
      </c>
      <c r="G63" s="219">
        <v>3600</v>
      </c>
      <c r="H63" s="206">
        <f t="shared" ref="H63:H66" si="21">G63-F63</f>
        <v>-900</v>
      </c>
      <c r="I63" s="206">
        <v>4500</v>
      </c>
      <c r="J63" s="219">
        <v>0</v>
      </c>
      <c r="K63" s="219">
        <f>J63-I63</f>
        <v>-4500</v>
      </c>
      <c r="L63" s="219"/>
      <c r="M63" s="219"/>
      <c r="N63" s="219">
        <v>0</v>
      </c>
      <c r="O63" s="219"/>
      <c r="P63" s="219"/>
      <c r="Q63" s="219">
        <v>0</v>
      </c>
      <c r="R63" s="219"/>
      <c r="S63" s="219"/>
      <c r="T63" s="220">
        <f t="shared" si="18"/>
        <v>6600</v>
      </c>
      <c r="U63" s="102" t="s">
        <v>12</v>
      </c>
      <c r="V63" s="102"/>
      <c r="W63" s="102"/>
      <c r="X63" s="230"/>
    </row>
    <row r="64" spans="1:24" ht="105.75" customHeight="1">
      <c r="A64" s="198" t="s">
        <v>148</v>
      </c>
      <c r="B64" s="225" t="s">
        <v>170</v>
      </c>
      <c r="C64" s="28">
        <v>14542</v>
      </c>
      <c r="D64" s="206">
        <v>15347.3</v>
      </c>
      <c r="E64" s="206">
        <f t="shared" si="20"/>
        <v>805.29999999999927</v>
      </c>
      <c r="F64" s="206">
        <v>12417.7</v>
      </c>
      <c r="G64" s="219">
        <v>21747.5</v>
      </c>
      <c r="H64" s="206">
        <f t="shared" si="21"/>
        <v>9329.7999999999993</v>
      </c>
      <c r="I64" s="206">
        <v>12417.7</v>
      </c>
      <c r="J64" s="219">
        <v>21747.5</v>
      </c>
      <c r="K64" s="219">
        <f>J64-I64</f>
        <v>9329.7999999999993</v>
      </c>
      <c r="L64" s="219">
        <v>24787.01</v>
      </c>
      <c r="M64" s="219">
        <f>L64-J64</f>
        <v>3039.5099999999984</v>
      </c>
      <c r="N64" s="219">
        <f>J64</f>
        <v>21747.5</v>
      </c>
      <c r="O64" s="219"/>
      <c r="P64" s="219"/>
      <c r="Q64" s="219">
        <f>J64</f>
        <v>21747.5</v>
      </c>
      <c r="R64" s="219"/>
      <c r="S64" s="219"/>
      <c r="T64" s="220">
        <f t="shared" si="18"/>
        <v>102337.3</v>
      </c>
      <c r="U64" s="102" t="s">
        <v>12</v>
      </c>
      <c r="V64" s="102" t="s">
        <v>139</v>
      </c>
      <c r="W64" s="102" t="s">
        <v>207</v>
      </c>
      <c r="X64" s="230" t="s">
        <v>216</v>
      </c>
    </row>
    <row r="65" spans="1:24" ht="105.75" customHeight="1">
      <c r="A65" s="198" t="s">
        <v>149</v>
      </c>
      <c r="B65" s="225" t="s">
        <v>171</v>
      </c>
      <c r="C65" s="46">
        <v>13204.93</v>
      </c>
      <c r="D65" s="206">
        <v>14801.83</v>
      </c>
      <c r="E65" s="206">
        <f t="shared" si="20"/>
        <v>1596.8999999999996</v>
      </c>
      <c r="F65" s="206">
        <f>'не актуально .'!F75</f>
        <v>0</v>
      </c>
      <c r="G65" s="219">
        <v>102885.9071</v>
      </c>
      <c r="H65" s="206">
        <f t="shared" si="21"/>
        <v>102885.9071</v>
      </c>
      <c r="I65" s="206">
        <f>'не актуально .'!I75</f>
        <v>0</v>
      </c>
      <c r="J65" s="219">
        <v>0</v>
      </c>
      <c r="K65" s="219">
        <f t="shared" si="19"/>
        <v>0</v>
      </c>
      <c r="L65" s="219">
        <v>8636.3459000000003</v>
      </c>
      <c r="M65" s="219">
        <f>J65+L65</f>
        <v>8636.3459000000003</v>
      </c>
      <c r="N65" s="219">
        <v>0</v>
      </c>
      <c r="O65" s="219"/>
      <c r="P65" s="219"/>
      <c r="Q65" s="219"/>
      <c r="R65" s="219"/>
      <c r="S65" s="219"/>
      <c r="T65" s="220">
        <f t="shared" si="18"/>
        <v>117687.7371</v>
      </c>
      <c r="U65" s="102" t="s">
        <v>12</v>
      </c>
      <c r="V65" s="102" t="s">
        <v>140</v>
      </c>
      <c r="W65" s="102" t="s">
        <v>206</v>
      </c>
      <c r="X65" s="230" t="s">
        <v>217</v>
      </c>
    </row>
    <row r="66" spans="1:24" ht="36" customHeight="1">
      <c r="A66" s="529" t="s">
        <v>150</v>
      </c>
      <c r="B66" s="542" t="s">
        <v>183</v>
      </c>
      <c r="C66" s="46">
        <v>100</v>
      </c>
      <c r="D66" s="206">
        <v>100</v>
      </c>
      <c r="E66" s="206">
        <f t="shared" si="20"/>
        <v>0</v>
      </c>
      <c r="F66" s="206">
        <v>100</v>
      </c>
      <c r="G66" s="219">
        <v>1921.5</v>
      </c>
      <c r="H66" s="206">
        <f t="shared" si="21"/>
        <v>1821.5</v>
      </c>
      <c r="I66" s="206">
        <v>100</v>
      </c>
      <c r="J66" s="219">
        <v>5</v>
      </c>
      <c r="K66" s="219">
        <f t="shared" si="19"/>
        <v>-95</v>
      </c>
      <c r="L66" s="219"/>
      <c r="M66" s="219"/>
      <c r="N66" s="219">
        <f>J66</f>
        <v>5</v>
      </c>
      <c r="O66" s="219"/>
      <c r="P66" s="219"/>
      <c r="Q66" s="219">
        <f>N66</f>
        <v>5</v>
      </c>
      <c r="R66" s="219"/>
      <c r="S66" s="219"/>
      <c r="T66" s="220">
        <f t="shared" si="18"/>
        <v>2036.5</v>
      </c>
      <c r="U66" s="102" t="s">
        <v>12</v>
      </c>
      <c r="V66" s="102"/>
      <c r="W66" s="102"/>
      <c r="X66" s="230"/>
    </row>
    <row r="67" spans="1:24" ht="59.25" customHeight="1">
      <c r="A67" s="530"/>
      <c r="B67" s="542"/>
      <c r="C67" s="46">
        <v>2355</v>
      </c>
      <c r="D67" s="206">
        <v>2745</v>
      </c>
      <c r="E67" s="206">
        <f t="shared" si="20"/>
        <v>390</v>
      </c>
      <c r="F67" s="206">
        <v>2355</v>
      </c>
      <c r="G67" s="219">
        <v>4689.8999999999996</v>
      </c>
      <c r="H67" s="206">
        <f>G67-F67</f>
        <v>2334.8999999999996</v>
      </c>
      <c r="I67" s="206">
        <v>2355</v>
      </c>
      <c r="J67" s="219">
        <v>4643.25</v>
      </c>
      <c r="K67" s="219">
        <f t="shared" si="19"/>
        <v>2288.25</v>
      </c>
      <c r="L67" s="219"/>
      <c r="M67" s="219"/>
      <c r="N67" s="219">
        <f>J67</f>
        <v>4643.25</v>
      </c>
      <c r="O67" s="219"/>
      <c r="P67" s="219"/>
      <c r="Q67" s="219">
        <f>N67</f>
        <v>4643.25</v>
      </c>
      <c r="R67" s="219"/>
      <c r="S67" s="219"/>
      <c r="T67" s="220">
        <f t="shared" si="18"/>
        <v>21364.65</v>
      </c>
      <c r="U67" s="102" t="s">
        <v>8</v>
      </c>
      <c r="V67" s="102" t="s">
        <v>141</v>
      </c>
      <c r="W67" s="102"/>
      <c r="X67" s="230"/>
    </row>
    <row r="68" spans="1:24" ht="37.5" customHeight="1">
      <c r="A68" s="529" t="s">
        <v>151</v>
      </c>
      <c r="B68" s="542" t="s">
        <v>172</v>
      </c>
      <c r="C68" s="46">
        <v>352.2</v>
      </c>
      <c r="D68" s="206">
        <v>352.2</v>
      </c>
      <c r="E68" s="206">
        <f t="shared" si="20"/>
        <v>0</v>
      </c>
      <c r="F68" s="206">
        <v>352.2</v>
      </c>
      <c r="G68" s="219">
        <v>352.2</v>
      </c>
      <c r="H68" s="206">
        <f t="shared" ref="H68:H83" si="22">G68-F68</f>
        <v>0</v>
      </c>
      <c r="I68" s="206">
        <v>352.2</v>
      </c>
      <c r="J68" s="219">
        <v>831.4</v>
      </c>
      <c r="K68" s="219">
        <f t="shared" si="19"/>
        <v>479.2</v>
      </c>
      <c r="L68" s="219"/>
      <c r="M68" s="219"/>
      <c r="N68" s="219">
        <f>J68</f>
        <v>831.4</v>
      </c>
      <c r="O68" s="219"/>
      <c r="P68" s="219"/>
      <c r="Q68" s="219">
        <f>N68</f>
        <v>831.4</v>
      </c>
      <c r="R68" s="219"/>
      <c r="S68" s="219"/>
      <c r="T68" s="220">
        <f t="shared" si="18"/>
        <v>3198.6</v>
      </c>
      <c r="U68" s="102" t="s">
        <v>12</v>
      </c>
      <c r="V68" s="102"/>
      <c r="W68" s="102"/>
      <c r="X68" s="230"/>
    </row>
    <row r="69" spans="1:24" ht="64.5" customHeight="1">
      <c r="A69" s="530"/>
      <c r="B69" s="542"/>
      <c r="C69" s="46">
        <v>1761</v>
      </c>
      <c r="D69" s="206">
        <v>1761</v>
      </c>
      <c r="E69" s="206">
        <f t="shared" si="20"/>
        <v>0</v>
      </c>
      <c r="F69" s="206">
        <v>1761</v>
      </c>
      <c r="G69" s="219">
        <v>1804</v>
      </c>
      <c r="H69" s="206">
        <f t="shared" si="22"/>
        <v>43</v>
      </c>
      <c r="I69" s="206">
        <v>1761</v>
      </c>
      <c r="J69" s="219">
        <v>2485.4499999999998</v>
      </c>
      <c r="K69" s="219">
        <f t="shared" si="19"/>
        <v>724.44999999999982</v>
      </c>
      <c r="L69" s="219"/>
      <c r="M69" s="219"/>
      <c r="N69" s="219">
        <f>J69</f>
        <v>2485.4499999999998</v>
      </c>
      <c r="O69" s="219"/>
      <c r="P69" s="219"/>
      <c r="Q69" s="219">
        <f>N69</f>
        <v>2485.4499999999998</v>
      </c>
      <c r="R69" s="219"/>
      <c r="S69" s="219"/>
      <c r="T69" s="220">
        <f t="shared" si="18"/>
        <v>11021.349999999999</v>
      </c>
      <c r="U69" s="102" t="s">
        <v>8</v>
      </c>
      <c r="V69" s="102"/>
      <c r="W69" s="102"/>
      <c r="X69" s="230"/>
    </row>
    <row r="70" spans="1:24" ht="47.25" customHeight="1">
      <c r="A70" s="529" t="s">
        <v>152</v>
      </c>
      <c r="B70" s="542" t="s">
        <v>158</v>
      </c>
      <c r="C70" s="46">
        <v>117.4</v>
      </c>
      <c r="D70" s="206">
        <v>117.4</v>
      </c>
      <c r="E70" s="206">
        <f t="shared" si="20"/>
        <v>0</v>
      </c>
      <c r="F70" s="206">
        <v>117.4</v>
      </c>
      <c r="G70" s="219">
        <v>117.4</v>
      </c>
      <c r="H70" s="206">
        <f t="shared" si="22"/>
        <v>0</v>
      </c>
      <c r="I70" s="206">
        <v>117.4</v>
      </c>
      <c r="J70" s="219">
        <v>69.150000000000006</v>
      </c>
      <c r="K70" s="219">
        <f t="shared" si="19"/>
        <v>-48.25</v>
      </c>
      <c r="L70" s="219"/>
      <c r="M70" s="219"/>
      <c r="N70" s="219">
        <f t="shared" ref="N70:N75" si="23">J70</f>
        <v>69.150000000000006</v>
      </c>
      <c r="O70" s="219"/>
      <c r="P70" s="219"/>
      <c r="Q70" s="219">
        <f>J70</f>
        <v>69.150000000000006</v>
      </c>
      <c r="R70" s="219"/>
      <c r="S70" s="219"/>
      <c r="T70" s="220">
        <f t="shared" si="18"/>
        <v>442.25</v>
      </c>
      <c r="U70" s="102" t="s">
        <v>12</v>
      </c>
      <c r="V70" s="102"/>
      <c r="W70" s="102"/>
      <c r="X70" s="230"/>
    </row>
    <row r="71" spans="1:24" ht="84.75" customHeight="1">
      <c r="A71" s="530"/>
      <c r="B71" s="536"/>
      <c r="C71" s="46">
        <v>528.29999999999995</v>
      </c>
      <c r="D71" s="206">
        <v>528.29999999999995</v>
      </c>
      <c r="E71" s="206">
        <f t="shared" si="20"/>
        <v>0</v>
      </c>
      <c r="F71" s="206">
        <v>528.29999999999995</v>
      </c>
      <c r="G71" s="219">
        <v>631.4</v>
      </c>
      <c r="H71" s="206">
        <f t="shared" si="22"/>
        <v>103.10000000000002</v>
      </c>
      <c r="I71" s="206">
        <v>528.29999999999995</v>
      </c>
      <c r="J71" s="219">
        <v>207.12</v>
      </c>
      <c r="K71" s="219">
        <f t="shared" si="19"/>
        <v>-321.17999999999995</v>
      </c>
      <c r="L71" s="219"/>
      <c r="M71" s="219"/>
      <c r="N71" s="219">
        <f t="shared" si="23"/>
        <v>207.12</v>
      </c>
      <c r="O71" s="219"/>
      <c r="P71" s="219"/>
      <c r="Q71" s="219">
        <f>J71</f>
        <v>207.12</v>
      </c>
      <c r="R71" s="219"/>
      <c r="S71" s="219"/>
      <c r="T71" s="220">
        <f t="shared" si="18"/>
        <v>1781.0599999999995</v>
      </c>
      <c r="U71" s="102" t="s">
        <v>8</v>
      </c>
      <c r="V71" s="102"/>
      <c r="W71" s="102"/>
      <c r="X71" s="230"/>
    </row>
    <row r="72" spans="1:24" ht="47.25" customHeight="1">
      <c r="A72" s="529" t="s">
        <v>153</v>
      </c>
      <c r="B72" s="535" t="s">
        <v>167</v>
      </c>
      <c r="C72" s="46">
        <v>293.5</v>
      </c>
      <c r="D72" s="206">
        <v>293.5</v>
      </c>
      <c r="E72" s="206">
        <f t="shared" si="20"/>
        <v>0</v>
      </c>
      <c r="F72" s="206">
        <v>293.5</v>
      </c>
      <c r="G72" s="219">
        <v>293.5</v>
      </c>
      <c r="H72" s="206">
        <f t="shared" si="22"/>
        <v>0</v>
      </c>
      <c r="I72" s="206">
        <v>293.5</v>
      </c>
      <c r="J72" s="219">
        <v>276.55</v>
      </c>
      <c r="K72" s="219">
        <f t="shared" si="19"/>
        <v>-16.949999999999989</v>
      </c>
      <c r="L72" s="219"/>
      <c r="M72" s="219"/>
      <c r="N72" s="219">
        <f t="shared" si="23"/>
        <v>276.55</v>
      </c>
      <c r="O72" s="219"/>
      <c r="P72" s="219"/>
      <c r="Q72" s="219">
        <f>N72</f>
        <v>276.55</v>
      </c>
      <c r="R72" s="219"/>
      <c r="S72" s="219"/>
      <c r="T72" s="220">
        <f t="shared" si="18"/>
        <v>1416.6499999999999</v>
      </c>
      <c r="U72" s="102" t="s">
        <v>12</v>
      </c>
      <c r="V72" s="102"/>
      <c r="W72" s="102"/>
      <c r="X72" s="230"/>
    </row>
    <row r="73" spans="1:24" ht="62.25" customHeight="1">
      <c r="A73" s="530"/>
      <c r="B73" s="536"/>
      <c r="C73" s="46">
        <v>880.5</v>
      </c>
      <c r="D73" s="206">
        <v>880.5</v>
      </c>
      <c r="E73" s="206">
        <f t="shared" si="20"/>
        <v>0</v>
      </c>
      <c r="F73" s="206">
        <v>880.5</v>
      </c>
      <c r="G73" s="219">
        <v>902</v>
      </c>
      <c r="H73" s="206">
        <f t="shared" si="22"/>
        <v>21.5</v>
      </c>
      <c r="I73" s="206">
        <v>880.5</v>
      </c>
      <c r="J73" s="219">
        <v>828.48</v>
      </c>
      <c r="K73" s="219">
        <f t="shared" si="19"/>
        <v>-52.019999999999982</v>
      </c>
      <c r="L73" s="219"/>
      <c r="M73" s="219"/>
      <c r="N73" s="219">
        <f t="shared" si="23"/>
        <v>828.48</v>
      </c>
      <c r="O73" s="219"/>
      <c r="P73" s="219"/>
      <c r="Q73" s="219">
        <f>N73</f>
        <v>828.48</v>
      </c>
      <c r="R73" s="219"/>
      <c r="S73" s="219"/>
      <c r="T73" s="220">
        <f t="shared" si="18"/>
        <v>4267.9400000000005</v>
      </c>
      <c r="U73" s="102" t="s">
        <v>8</v>
      </c>
      <c r="V73" s="102"/>
      <c r="W73" s="102"/>
      <c r="X73" s="230"/>
    </row>
    <row r="74" spans="1:24" ht="47.25" customHeight="1">
      <c r="A74" s="529" t="s">
        <v>154</v>
      </c>
      <c r="B74" s="535" t="s">
        <v>173</v>
      </c>
      <c r="C74" s="46">
        <v>234.8</v>
      </c>
      <c r="D74" s="206">
        <v>234.8</v>
      </c>
      <c r="E74" s="206">
        <f t="shared" si="20"/>
        <v>0</v>
      </c>
      <c r="F74" s="206">
        <v>234.8</v>
      </c>
      <c r="G74" s="219">
        <v>234.8</v>
      </c>
      <c r="H74" s="206">
        <f t="shared" si="22"/>
        <v>0</v>
      </c>
      <c r="I74" s="206">
        <v>234.8</v>
      </c>
      <c r="J74" s="219">
        <v>414.55</v>
      </c>
      <c r="K74" s="219">
        <f t="shared" si="19"/>
        <v>179.75</v>
      </c>
      <c r="L74" s="219"/>
      <c r="M74" s="219"/>
      <c r="N74" s="219">
        <f t="shared" si="23"/>
        <v>414.55</v>
      </c>
      <c r="O74" s="219"/>
      <c r="P74" s="219"/>
      <c r="Q74" s="219">
        <f>N74</f>
        <v>414.55</v>
      </c>
      <c r="R74" s="219"/>
      <c r="S74" s="219"/>
      <c r="T74" s="220">
        <f t="shared" si="18"/>
        <v>1713.25</v>
      </c>
      <c r="U74" s="102" t="s">
        <v>12</v>
      </c>
      <c r="V74" s="102"/>
      <c r="W74" s="102"/>
      <c r="X74" s="230"/>
    </row>
    <row r="75" spans="1:24" ht="86.25" customHeight="1">
      <c r="A75" s="530"/>
      <c r="B75" s="535"/>
      <c r="C75" s="46">
        <v>1584.9</v>
      </c>
      <c r="D75" s="206">
        <v>1584.9</v>
      </c>
      <c r="E75" s="206">
        <f t="shared" si="20"/>
        <v>0</v>
      </c>
      <c r="F75" s="206">
        <v>1584.9</v>
      </c>
      <c r="G75" s="219">
        <v>721.6</v>
      </c>
      <c r="H75" s="206">
        <f t="shared" si="22"/>
        <v>-863.30000000000007</v>
      </c>
      <c r="I75" s="206">
        <v>1584.9</v>
      </c>
      <c r="J75" s="219">
        <v>1242.73</v>
      </c>
      <c r="K75" s="219">
        <f t="shared" si="19"/>
        <v>-342.17000000000007</v>
      </c>
      <c r="L75" s="219"/>
      <c r="M75" s="219"/>
      <c r="N75" s="219">
        <f t="shared" si="23"/>
        <v>1242.73</v>
      </c>
      <c r="O75" s="219"/>
      <c r="P75" s="219"/>
      <c r="Q75" s="219">
        <f>N75</f>
        <v>1242.73</v>
      </c>
      <c r="R75" s="219"/>
      <c r="S75" s="219"/>
      <c r="T75" s="220">
        <f t="shared" si="18"/>
        <v>6034.6900000000005</v>
      </c>
      <c r="U75" s="102" t="s">
        <v>8</v>
      </c>
      <c r="V75" s="102"/>
      <c r="W75" s="102"/>
      <c r="X75" s="230"/>
    </row>
    <row r="76" spans="1:24" ht="36" customHeight="1">
      <c r="A76" s="529" t="s">
        <v>155</v>
      </c>
      <c r="B76" s="535" t="s">
        <v>174</v>
      </c>
      <c r="C76" s="46">
        <v>10</v>
      </c>
      <c r="D76" s="206">
        <v>10</v>
      </c>
      <c r="E76" s="206">
        <f t="shared" si="20"/>
        <v>0</v>
      </c>
      <c r="F76" s="206">
        <v>10</v>
      </c>
      <c r="G76" s="219">
        <v>16.5</v>
      </c>
      <c r="H76" s="206">
        <f t="shared" si="22"/>
        <v>6.5</v>
      </c>
      <c r="I76" s="206">
        <v>10</v>
      </c>
      <c r="J76" s="219">
        <v>154.30000000000001</v>
      </c>
      <c r="K76" s="219">
        <f t="shared" si="19"/>
        <v>144.30000000000001</v>
      </c>
      <c r="L76" s="219"/>
      <c r="M76" s="219"/>
      <c r="N76" s="219">
        <v>304.3</v>
      </c>
      <c r="O76" s="219"/>
      <c r="P76" s="219"/>
      <c r="Q76" s="219">
        <v>304.3</v>
      </c>
      <c r="R76" s="219"/>
      <c r="S76" s="219"/>
      <c r="T76" s="220">
        <f t="shared" si="18"/>
        <v>789.40000000000009</v>
      </c>
      <c r="U76" s="102" t="s">
        <v>12</v>
      </c>
      <c r="V76" s="102"/>
      <c r="W76" s="102"/>
      <c r="X76" s="230"/>
    </row>
    <row r="77" spans="1:24" ht="43.5" customHeight="1">
      <c r="A77" s="530"/>
      <c r="B77" s="537"/>
      <c r="C77" s="46">
        <v>322.60000000000002</v>
      </c>
      <c r="D77" s="206">
        <v>322.60000000000002</v>
      </c>
      <c r="E77" s="206">
        <f t="shared" si="20"/>
        <v>0</v>
      </c>
      <c r="F77" s="206">
        <v>322.60000000000002</v>
      </c>
      <c r="G77" s="219">
        <v>912.8</v>
      </c>
      <c r="H77" s="206">
        <f t="shared" si="22"/>
        <v>590.19999999999993</v>
      </c>
      <c r="I77" s="206">
        <v>322.60000000000002</v>
      </c>
      <c r="J77" s="219">
        <v>455.04</v>
      </c>
      <c r="K77" s="219">
        <f t="shared" si="19"/>
        <v>132.44</v>
      </c>
      <c r="L77" s="219"/>
      <c r="M77" s="219"/>
      <c r="N77" s="219">
        <v>912.8</v>
      </c>
      <c r="O77" s="219"/>
      <c r="P77" s="219"/>
      <c r="Q77" s="219">
        <v>912.8</v>
      </c>
      <c r="R77" s="219"/>
      <c r="S77" s="219"/>
      <c r="T77" s="220">
        <f t="shared" si="18"/>
        <v>3516.04</v>
      </c>
      <c r="U77" s="102" t="s">
        <v>62</v>
      </c>
      <c r="V77" s="102"/>
      <c r="W77" s="102"/>
      <c r="X77" s="230"/>
    </row>
    <row r="78" spans="1:24" ht="47.25" customHeight="1">
      <c r="A78" s="529" t="s">
        <v>156</v>
      </c>
      <c r="B78" s="535" t="s">
        <v>175</v>
      </c>
      <c r="C78" s="46">
        <v>23</v>
      </c>
      <c r="D78" s="206">
        <v>23</v>
      </c>
      <c r="E78" s="206">
        <f t="shared" si="20"/>
        <v>0</v>
      </c>
      <c r="F78" s="206"/>
      <c r="G78" s="219">
        <v>4</v>
      </c>
      <c r="H78" s="206">
        <f t="shared" si="22"/>
        <v>4</v>
      </c>
      <c r="I78" s="206"/>
      <c r="J78" s="219">
        <v>0.1</v>
      </c>
      <c r="K78" s="219">
        <f>J78-I78</f>
        <v>0.1</v>
      </c>
      <c r="L78" s="219"/>
      <c r="M78" s="219"/>
      <c r="N78" s="219">
        <f>J78</f>
        <v>0.1</v>
      </c>
      <c r="O78" s="219"/>
      <c r="P78" s="219"/>
      <c r="Q78" s="219">
        <f>J78</f>
        <v>0.1</v>
      </c>
      <c r="R78" s="219"/>
      <c r="S78" s="219"/>
      <c r="T78" s="220">
        <f t="shared" si="18"/>
        <v>27.300000000000004</v>
      </c>
      <c r="U78" s="102" t="s">
        <v>117</v>
      </c>
      <c r="V78" s="102"/>
      <c r="W78" s="102"/>
      <c r="X78" s="230"/>
    </row>
    <row r="79" spans="1:24" ht="93.75" customHeight="1">
      <c r="A79" s="530"/>
      <c r="B79" s="537"/>
      <c r="C79" s="46">
        <v>70</v>
      </c>
      <c r="D79" s="206">
        <v>70</v>
      </c>
      <c r="E79" s="206">
        <f t="shared" si="20"/>
        <v>0</v>
      </c>
      <c r="F79" s="206">
        <v>70</v>
      </c>
      <c r="G79" s="219">
        <v>60</v>
      </c>
      <c r="H79" s="206">
        <f t="shared" si="22"/>
        <v>-10</v>
      </c>
      <c r="I79" s="206">
        <v>70</v>
      </c>
      <c r="J79" s="219">
        <v>70</v>
      </c>
      <c r="K79" s="219">
        <f t="shared" ref="K79:K81" si="24">J79-I79</f>
        <v>0</v>
      </c>
      <c r="L79" s="219"/>
      <c r="M79" s="219"/>
      <c r="N79" s="219">
        <v>70</v>
      </c>
      <c r="O79" s="219"/>
      <c r="P79" s="219"/>
      <c r="Q79" s="219">
        <v>70</v>
      </c>
      <c r="R79" s="219"/>
      <c r="S79" s="219"/>
      <c r="T79" s="220">
        <f t="shared" si="18"/>
        <v>340</v>
      </c>
      <c r="U79" s="102" t="s">
        <v>62</v>
      </c>
      <c r="V79" s="102"/>
      <c r="W79" s="102"/>
      <c r="X79" s="230"/>
    </row>
    <row r="80" spans="1:24" ht="48.75" hidden="1" customHeight="1">
      <c r="A80" s="529" t="s">
        <v>157</v>
      </c>
      <c r="B80" s="535" t="s">
        <v>176</v>
      </c>
      <c r="C80" s="46"/>
      <c r="D80" s="206">
        <v>0</v>
      </c>
      <c r="E80" s="206"/>
      <c r="F80" s="206"/>
      <c r="G80" s="219">
        <v>2.4</v>
      </c>
      <c r="H80" s="206">
        <f>G80-F80</f>
        <v>2.4</v>
      </c>
      <c r="I80" s="206"/>
      <c r="J80" s="219">
        <v>0</v>
      </c>
      <c r="K80" s="219">
        <f t="shared" si="24"/>
        <v>0</v>
      </c>
      <c r="L80" s="219"/>
      <c r="M80" s="219"/>
      <c r="N80" s="219">
        <f>J80</f>
        <v>0</v>
      </c>
      <c r="O80" s="219"/>
      <c r="P80" s="219"/>
      <c r="Q80" s="219">
        <v>0</v>
      </c>
      <c r="R80" s="219"/>
      <c r="S80" s="219"/>
      <c r="T80" s="220">
        <f t="shared" si="18"/>
        <v>2.4</v>
      </c>
      <c r="U80" s="102" t="s">
        <v>117</v>
      </c>
      <c r="V80" s="102"/>
      <c r="W80" s="102"/>
      <c r="X80" s="230"/>
    </row>
    <row r="81" spans="1:24" ht="82.5" hidden="1" customHeight="1">
      <c r="A81" s="530"/>
      <c r="B81" s="537"/>
      <c r="C81" s="46"/>
      <c r="D81" s="206">
        <v>0</v>
      </c>
      <c r="E81" s="206"/>
      <c r="F81" s="206"/>
      <c r="G81" s="219">
        <v>240.6</v>
      </c>
      <c r="H81" s="206">
        <f t="shared" si="22"/>
        <v>240.6</v>
      </c>
      <c r="I81" s="206"/>
      <c r="J81" s="219">
        <v>0</v>
      </c>
      <c r="K81" s="219">
        <f t="shared" si="24"/>
        <v>0</v>
      </c>
      <c r="L81" s="219"/>
      <c r="M81" s="219"/>
      <c r="N81" s="219">
        <f>J81</f>
        <v>0</v>
      </c>
      <c r="O81" s="219"/>
      <c r="P81" s="219"/>
      <c r="Q81" s="219">
        <v>0</v>
      </c>
      <c r="R81" s="219"/>
      <c r="S81" s="219"/>
      <c r="T81" s="220">
        <f t="shared" si="18"/>
        <v>240.6</v>
      </c>
      <c r="U81" s="102" t="s">
        <v>62</v>
      </c>
      <c r="V81" s="102"/>
      <c r="W81" s="102"/>
      <c r="X81" s="230"/>
    </row>
    <row r="82" spans="1:24" ht="93" customHeight="1">
      <c r="A82" s="529" t="s">
        <v>194</v>
      </c>
      <c r="B82" s="531" t="s">
        <v>191</v>
      </c>
      <c r="C82" s="46"/>
      <c r="D82" s="206">
        <v>0</v>
      </c>
      <c r="E82" s="206"/>
      <c r="F82" s="206"/>
      <c r="G82" s="219">
        <v>0.159</v>
      </c>
      <c r="H82" s="206">
        <f t="shared" si="22"/>
        <v>0.159</v>
      </c>
      <c r="I82" s="206"/>
      <c r="J82" s="219">
        <v>245</v>
      </c>
      <c r="K82" s="219"/>
      <c r="L82" s="219"/>
      <c r="M82" s="219"/>
      <c r="N82" s="219">
        <v>245</v>
      </c>
      <c r="O82" s="219"/>
      <c r="P82" s="219"/>
      <c r="Q82" s="220">
        <v>245</v>
      </c>
      <c r="R82" s="220"/>
      <c r="S82" s="220"/>
      <c r="T82" s="220">
        <f t="shared" si="18"/>
        <v>735.15899999999999</v>
      </c>
      <c r="U82" s="102" t="s">
        <v>117</v>
      </c>
      <c r="V82" s="102"/>
      <c r="W82" s="102"/>
      <c r="X82" s="230"/>
    </row>
    <row r="83" spans="1:24" ht="121.5" customHeight="1">
      <c r="A83" s="530"/>
      <c r="B83" s="532"/>
      <c r="C83" s="46"/>
      <c r="D83" s="206">
        <v>0</v>
      </c>
      <c r="E83" s="206"/>
      <c r="F83" s="206"/>
      <c r="G83" s="219">
        <v>159</v>
      </c>
      <c r="H83" s="206">
        <f t="shared" si="22"/>
        <v>159</v>
      </c>
      <c r="I83" s="206"/>
      <c r="J83" s="219">
        <v>714.62</v>
      </c>
      <c r="K83" s="219"/>
      <c r="L83" s="219"/>
      <c r="M83" s="219"/>
      <c r="N83" s="219">
        <v>714.62</v>
      </c>
      <c r="O83" s="219"/>
      <c r="P83" s="219"/>
      <c r="Q83" s="220">
        <f>N83</f>
        <v>714.62</v>
      </c>
      <c r="R83" s="220"/>
      <c r="S83" s="220"/>
      <c r="T83" s="220">
        <f t="shared" si="18"/>
        <v>2302.86</v>
      </c>
      <c r="U83" s="102" t="s">
        <v>62</v>
      </c>
      <c r="V83" s="102"/>
      <c r="W83" s="102"/>
      <c r="X83" s="230"/>
    </row>
    <row r="84" spans="1:24" s="199" customFormat="1" ht="32.25" hidden="1" customHeight="1">
      <c r="A84" s="193"/>
      <c r="B84" s="192" t="s">
        <v>20</v>
      </c>
      <c r="C84" s="46">
        <f>C61+C62+C63+C64+C65+C66+C68+C70+C72+C74+C76+C78</f>
        <v>385434.51</v>
      </c>
      <c r="D84" s="206">
        <f>D61+D62+D63+D64+D65+D66+D68+D70+D72+D74+D76+D78</f>
        <v>423752.01</v>
      </c>
      <c r="E84" s="206">
        <f>D84-C84</f>
        <v>38317.5</v>
      </c>
      <c r="F84" s="206">
        <f>F61+F62+F63+F64+F65+F66+F68+F70+F72+F74+F76+F78</f>
        <v>217655.1</v>
      </c>
      <c r="G84" s="219">
        <f>G61+G62+G63+G64+G65+G66+G68+G70+G72+G74+G76+G78+G80+G82</f>
        <v>587131.30576000002</v>
      </c>
      <c r="H84" s="219">
        <f t="shared" ref="H84:I84" si="25">H61+H62+H63+H64+H65+H66+H68+H70+H72+H74+H76+H78+H80+H82</f>
        <v>474840.15575999999</v>
      </c>
      <c r="I84" s="219">
        <f t="shared" si="25"/>
        <v>217655.1</v>
      </c>
      <c r="J84" s="219">
        <f>J61+J62+J63+J64+J65+J66+J68+J70+J72+J74+J76+J78+J80+J82</f>
        <v>295455.14999999997</v>
      </c>
      <c r="K84" s="219">
        <f t="shared" ref="K84:Q84" si="26">K61+K62+K63+K64+K65+K66+K68+K70+K72+K74+K76+K78+K80+K82</f>
        <v>77555.050000000017</v>
      </c>
      <c r="L84" s="219"/>
      <c r="M84" s="219"/>
      <c r="N84" s="219">
        <f t="shared" si="26"/>
        <v>290258.05</v>
      </c>
      <c r="O84" s="219"/>
      <c r="P84" s="219"/>
      <c r="Q84" s="219">
        <f t="shared" si="26"/>
        <v>290258.05</v>
      </c>
      <c r="R84" s="219"/>
      <c r="S84" s="219"/>
      <c r="T84" s="220">
        <f t="shared" si="18"/>
        <v>1886854.5657600001</v>
      </c>
      <c r="U84" s="193"/>
      <c r="V84" s="122"/>
      <c r="W84" s="223"/>
      <c r="X84" s="122"/>
    </row>
    <row r="85" spans="1:24" s="199" customFormat="1" ht="35.25" hidden="1" customHeight="1">
      <c r="A85" s="193"/>
      <c r="B85" s="102" t="s">
        <v>21</v>
      </c>
      <c r="C85" s="46">
        <f>C67+C69+C71+C73+C75+C77+C79</f>
        <v>7502.3000000000011</v>
      </c>
      <c r="D85" s="206">
        <f>D67+D69+D71+D73+D75+D77+D79</f>
        <v>7892.3000000000011</v>
      </c>
      <c r="E85" s="206">
        <f t="shared" si="20"/>
        <v>390</v>
      </c>
      <c r="F85" s="206">
        <f>F67+F69+F71+F73+F75+F77+F79</f>
        <v>7502.3000000000011</v>
      </c>
      <c r="G85" s="219">
        <f t="shared" ref="G85:I85" si="27">G67+G69+G71+G73+G75+G77+G79+G81+G83</f>
        <v>10121.299999999999</v>
      </c>
      <c r="H85" s="219">
        <f t="shared" si="27"/>
        <v>2618.9999999999991</v>
      </c>
      <c r="I85" s="219">
        <f t="shared" si="27"/>
        <v>7502.3000000000011</v>
      </c>
      <c r="J85" s="219">
        <f>J67+J69+J71+J73+J75+J77+J79+J81+J83</f>
        <v>10646.69</v>
      </c>
      <c r="K85" s="219">
        <f t="shared" ref="K85" si="28">K67+K69+K71+K73+K75+K77+K79+K81+K83</f>
        <v>2429.77</v>
      </c>
      <c r="L85" s="219"/>
      <c r="M85" s="219"/>
      <c r="N85" s="219">
        <f>N67+N69+N71+N73+N75+N77+N79+N81+N83</f>
        <v>11104.449999999999</v>
      </c>
      <c r="O85" s="219"/>
      <c r="P85" s="219"/>
      <c r="Q85" s="219">
        <f>Q67+Q69+Q71+Q73+Q75+Q77+Q79+Q81+Q83</f>
        <v>11104.449999999999</v>
      </c>
      <c r="R85" s="219"/>
      <c r="S85" s="219"/>
      <c r="T85" s="220">
        <f t="shared" si="18"/>
        <v>50869.189999999995</v>
      </c>
      <c r="U85" s="193"/>
      <c r="V85" s="122"/>
      <c r="W85" s="224"/>
      <c r="X85" s="122"/>
    </row>
    <row r="86" spans="1:24" s="199" customFormat="1" ht="37.5" hidden="1" customHeight="1">
      <c r="A86" s="193"/>
      <c r="B86" s="192" t="s">
        <v>22</v>
      </c>
      <c r="C86" s="46">
        <f>C84+C85</f>
        <v>392936.81</v>
      </c>
      <c r="D86" s="206">
        <f>D84+D85</f>
        <v>431644.31</v>
      </c>
      <c r="E86" s="206">
        <f t="shared" si="20"/>
        <v>38707.5</v>
      </c>
      <c r="F86" s="206">
        <f>F84+F85</f>
        <v>225157.4</v>
      </c>
      <c r="G86" s="219">
        <f>G84+G85</f>
        <v>597252.60576000006</v>
      </c>
      <c r="H86" s="219">
        <f t="shared" ref="H86:I86" si="29">H84+H85</f>
        <v>477459.15575999999</v>
      </c>
      <c r="I86" s="219">
        <f t="shared" si="29"/>
        <v>225157.4</v>
      </c>
      <c r="J86" s="219">
        <f>J84+J85</f>
        <v>306101.83999999997</v>
      </c>
      <c r="K86" s="219"/>
      <c r="L86" s="219"/>
      <c r="M86" s="219"/>
      <c r="N86" s="219">
        <f>N84+N85</f>
        <v>301362.5</v>
      </c>
      <c r="O86" s="219"/>
      <c r="P86" s="219"/>
      <c r="Q86" s="219">
        <f>Q84+Q85</f>
        <v>301362.5</v>
      </c>
      <c r="R86" s="219"/>
      <c r="S86" s="219"/>
      <c r="T86" s="220">
        <f t="shared" si="18"/>
        <v>1937723.7557600001</v>
      </c>
      <c r="U86" s="193"/>
      <c r="V86" s="122"/>
      <c r="W86" s="122"/>
      <c r="X86" s="122"/>
    </row>
    <row r="87" spans="1:24" s="199" customFormat="1" ht="26.25" hidden="1">
      <c r="A87" s="193"/>
      <c r="B87" s="192" t="s">
        <v>132</v>
      </c>
      <c r="C87" s="46"/>
      <c r="D87" s="206">
        <v>431644.31</v>
      </c>
      <c r="E87" s="206"/>
      <c r="F87" s="206"/>
      <c r="G87" s="219" t="e">
        <f>#REF!</f>
        <v>#REF!</v>
      </c>
      <c r="H87" s="206"/>
      <c r="I87" s="206"/>
      <c r="J87" s="239">
        <v>355379.01821000001</v>
      </c>
      <c r="K87" s="239"/>
      <c r="L87" s="239"/>
      <c r="M87" s="239"/>
      <c r="N87" s="239">
        <v>301362.5</v>
      </c>
      <c r="O87" s="239"/>
      <c r="P87" s="239"/>
      <c r="Q87" s="239">
        <v>301362.5</v>
      </c>
      <c r="R87" s="239"/>
      <c r="S87" s="239"/>
      <c r="T87" s="220" t="e">
        <f t="shared" si="18"/>
        <v>#REF!</v>
      </c>
      <c r="U87" s="193"/>
      <c r="V87" s="122"/>
      <c r="W87" s="122"/>
      <c r="X87" s="122"/>
    </row>
    <row r="88" spans="1:24" s="199" customFormat="1" ht="26.25" hidden="1">
      <c r="A88" s="193"/>
      <c r="B88" s="192" t="s">
        <v>132</v>
      </c>
      <c r="C88" s="46"/>
      <c r="D88" s="240">
        <f>D87-D86</f>
        <v>0</v>
      </c>
      <c r="E88" s="240"/>
      <c r="F88" s="240"/>
      <c r="G88" s="219" t="e">
        <f>#REF!</f>
        <v>#REF!</v>
      </c>
      <c r="H88" s="240">
        <f t="shared" ref="H88:K88" si="30">H87-H86</f>
        <v>-477459.15575999999</v>
      </c>
      <c r="I88" s="240">
        <f t="shared" si="30"/>
        <v>-225157.4</v>
      </c>
      <c r="J88" s="239">
        <f t="shared" si="30"/>
        <v>49277.178210000042</v>
      </c>
      <c r="K88" s="239">
        <f t="shared" si="30"/>
        <v>0</v>
      </c>
      <c r="L88" s="239"/>
      <c r="M88" s="239"/>
      <c r="N88" s="239">
        <f>N87-N86</f>
        <v>0</v>
      </c>
      <c r="O88" s="239"/>
      <c r="P88" s="239"/>
      <c r="Q88" s="239">
        <f>Q87-Q86</f>
        <v>0</v>
      </c>
      <c r="R88" s="239"/>
      <c r="S88" s="239"/>
      <c r="T88" s="220" t="e">
        <f t="shared" si="18"/>
        <v>#REF!</v>
      </c>
      <c r="U88" s="193"/>
      <c r="V88" s="122"/>
      <c r="W88" s="122"/>
      <c r="X88" s="122"/>
    </row>
    <row r="89" spans="1:24" s="199" customFormat="1" ht="180" hidden="1" customHeight="1">
      <c r="A89" s="193"/>
      <c r="B89" s="192"/>
      <c r="C89" s="46"/>
      <c r="D89" s="240"/>
      <c r="E89" s="240"/>
      <c r="F89" s="240"/>
      <c r="G89" s="219"/>
      <c r="H89" s="240"/>
      <c r="I89" s="240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20"/>
      <c r="U89" s="193"/>
      <c r="V89" s="122"/>
      <c r="W89" s="122"/>
      <c r="X89" s="122"/>
    </row>
    <row r="90" spans="1:24" s="199" customFormat="1" ht="53.25" hidden="1" customHeight="1">
      <c r="A90" s="241"/>
      <c r="B90" s="10" t="s">
        <v>24</v>
      </c>
      <c r="C90" s="37" t="e">
        <f>C91+C92+C93</f>
        <v>#REF!</v>
      </c>
      <c r="D90" s="206">
        <f>D91+D92+D93</f>
        <v>603117.71</v>
      </c>
      <c r="E90" s="206" t="e">
        <f>E91+E92+E93</f>
        <v>#REF!</v>
      </c>
      <c r="F90" s="206" t="e">
        <f>F91+F92+F93</f>
        <v>#REF!</v>
      </c>
      <c r="G90" s="219">
        <f>G91+G92+G93</f>
        <v>665367.74676000001</v>
      </c>
      <c r="H90" s="219" t="e">
        <f t="shared" ref="H90:I90" si="31">H91+H92+H93</f>
        <v>#REF!</v>
      </c>
      <c r="I90" s="219" t="e">
        <f t="shared" si="31"/>
        <v>#REF!</v>
      </c>
      <c r="J90" s="219">
        <f>J91+J92+J93</f>
        <v>355450.27106</v>
      </c>
      <c r="K90" s="219">
        <f t="shared" ref="K90:N90" si="32">K91+K92+K93</f>
        <v>82171.773280000023</v>
      </c>
      <c r="L90" s="219"/>
      <c r="M90" s="219"/>
      <c r="N90" s="219">
        <f t="shared" si="32"/>
        <v>379246.57749999996</v>
      </c>
      <c r="O90" s="219"/>
      <c r="P90" s="219"/>
      <c r="Q90" s="219">
        <f>Q91+Q92+Q93</f>
        <v>444467.88750000001</v>
      </c>
      <c r="R90" s="219"/>
      <c r="S90" s="219"/>
      <c r="T90" s="220">
        <f>D90+G90+J90+N90+Q90</f>
        <v>2447650.19282</v>
      </c>
      <c r="U90" s="242"/>
      <c r="V90" s="243"/>
      <c r="W90" s="243"/>
      <c r="X90" s="122"/>
    </row>
    <row r="91" spans="1:24" s="199" customFormat="1" ht="33.75" hidden="1" customHeight="1">
      <c r="A91" s="193"/>
      <c r="B91" s="102" t="s">
        <v>20</v>
      </c>
      <c r="C91" s="37" t="e">
        <f>C84+C49</f>
        <v>#REF!</v>
      </c>
      <c r="D91" s="206">
        <f>D84+D49</f>
        <v>544722.11</v>
      </c>
      <c r="E91" s="206" t="e">
        <f>E84+E49</f>
        <v>#REF!</v>
      </c>
      <c r="F91" s="206" t="e">
        <f>F84+F49</f>
        <v>#REF!</v>
      </c>
      <c r="G91" s="219">
        <f t="shared" ref="G91:I91" si="33">G84+G49</f>
        <v>649404.54676000006</v>
      </c>
      <c r="H91" s="219" t="e">
        <f t="shared" si="33"/>
        <v>#REF!</v>
      </c>
      <c r="I91" s="219" t="e">
        <f t="shared" si="33"/>
        <v>#REF!</v>
      </c>
      <c r="J91" s="219">
        <f>J84+J49</f>
        <v>338677.35</v>
      </c>
      <c r="K91" s="219">
        <f t="shared" ref="K91:Q91" si="34">K84+K49</f>
        <v>78900.050000000017</v>
      </c>
      <c r="L91" s="219"/>
      <c r="M91" s="219"/>
      <c r="N91" s="219">
        <f t="shared" si="34"/>
        <v>333477.14999999997</v>
      </c>
      <c r="O91" s="219"/>
      <c r="P91" s="219"/>
      <c r="Q91" s="219">
        <f t="shared" si="34"/>
        <v>333477.25</v>
      </c>
      <c r="R91" s="219"/>
      <c r="S91" s="219"/>
      <c r="T91" s="220">
        <f>D91+G91+J91+N91+Q91</f>
        <v>2199758.4067600002</v>
      </c>
      <c r="U91" s="193"/>
      <c r="V91" s="122"/>
      <c r="W91" s="122"/>
      <c r="X91" s="122"/>
    </row>
    <row r="92" spans="1:24" s="199" customFormat="1" ht="36" hidden="1" customHeight="1">
      <c r="A92" s="193"/>
      <c r="B92" s="102" t="s">
        <v>21</v>
      </c>
      <c r="C92" s="37" t="e">
        <f>C50+C85</f>
        <v>#REF!</v>
      </c>
      <c r="D92" s="206">
        <f>D50+D85</f>
        <v>51703.200000000004</v>
      </c>
      <c r="E92" s="206" t="e">
        <f>E50+E85</f>
        <v>#REF!</v>
      </c>
      <c r="F92" s="206" t="e">
        <f>F50+F85</f>
        <v>#REF!</v>
      </c>
      <c r="G92" s="219">
        <f t="shared" ref="G92:I92" si="35">G50+G85</f>
        <v>13706</v>
      </c>
      <c r="H92" s="219" t="e">
        <f t="shared" si="35"/>
        <v>#REF!</v>
      </c>
      <c r="I92" s="219" t="e">
        <f t="shared" si="35"/>
        <v>#REF!</v>
      </c>
      <c r="J92" s="219">
        <f>J50+J85</f>
        <v>14073.14328</v>
      </c>
      <c r="K92" s="219">
        <f t="shared" ref="K92" si="36">K50+K85</f>
        <v>3271.7232800000002</v>
      </c>
      <c r="L92" s="219"/>
      <c r="M92" s="219"/>
      <c r="N92" s="219">
        <f>N50+N85</f>
        <v>45769.427499999998</v>
      </c>
      <c r="O92" s="219"/>
      <c r="P92" s="219"/>
      <c r="Q92" s="219">
        <f>Q50+Q85</f>
        <v>110990.6375</v>
      </c>
      <c r="R92" s="219"/>
      <c r="S92" s="219"/>
      <c r="T92" s="220">
        <f>D92+G92+J92+N92+Q92</f>
        <v>236242.40827999997</v>
      </c>
      <c r="U92" s="193"/>
      <c r="V92" s="122"/>
      <c r="W92" s="122"/>
      <c r="X92" s="244"/>
    </row>
    <row r="93" spans="1:24" s="199" customFormat="1" ht="32.25" hidden="1" customHeight="1">
      <c r="A93" s="193"/>
      <c r="B93" s="102" t="s">
        <v>25</v>
      </c>
      <c r="C93" s="37" t="e">
        <f>C51</f>
        <v>#REF!</v>
      </c>
      <c r="D93" s="206">
        <f>D51</f>
        <v>6692.4</v>
      </c>
      <c r="E93" s="206" t="e">
        <f>E51</f>
        <v>#REF!</v>
      </c>
      <c r="F93" s="206" t="e">
        <f>F51</f>
        <v>#REF!</v>
      </c>
      <c r="G93" s="219">
        <f t="shared" ref="G93:I93" si="37">G51</f>
        <v>2257.1999999999998</v>
      </c>
      <c r="H93" s="219" t="e">
        <f t="shared" si="37"/>
        <v>#REF!</v>
      </c>
      <c r="I93" s="219" t="e">
        <f t="shared" si="37"/>
        <v>#REF!</v>
      </c>
      <c r="J93" s="219">
        <f>J51</f>
        <v>2699.7777799999999</v>
      </c>
      <c r="K93" s="219">
        <f t="shared" ref="K93:Q93" si="38">K51</f>
        <v>0</v>
      </c>
      <c r="L93" s="219"/>
      <c r="M93" s="219"/>
      <c r="N93" s="219">
        <f t="shared" si="38"/>
        <v>0</v>
      </c>
      <c r="O93" s="219"/>
      <c r="P93" s="219"/>
      <c r="Q93" s="219">
        <f t="shared" si="38"/>
        <v>0</v>
      </c>
      <c r="R93" s="219"/>
      <c r="S93" s="219"/>
      <c r="T93" s="220">
        <f>D93+G93+J93+N93+Q93</f>
        <v>11649.377779999999</v>
      </c>
      <c r="U93" s="193"/>
      <c r="V93" s="122"/>
      <c r="W93" s="122"/>
      <c r="X93" s="245"/>
    </row>
    <row r="94" spans="1:24" ht="33.75" hidden="1">
      <c r="C94" s="281"/>
      <c r="G94" s="246">
        <v>344347.9</v>
      </c>
      <c r="J94" s="246">
        <v>409883.79927000002</v>
      </c>
      <c r="N94" s="246">
        <v>371143.96950000001</v>
      </c>
      <c r="O94" s="246"/>
      <c r="P94" s="246"/>
      <c r="Q94" s="246">
        <v>444565.20750000002</v>
      </c>
      <c r="R94" s="246"/>
      <c r="S94" s="246"/>
    </row>
    <row r="95" spans="1:24" hidden="1">
      <c r="C95" s="38"/>
      <c r="G95" s="246">
        <f>G94-G90</f>
        <v>-321019.84675999999</v>
      </c>
      <c r="J95" s="246">
        <f>J94-J90</f>
        <v>54433.528210000019</v>
      </c>
      <c r="N95" s="246">
        <f>N94-N90</f>
        <v>-8102.6079999999492</v>
      </c>
      <c r="O95" s="246"/>
      <c r="P95" s="246"/>
      <c r="Q95" s="246">
        <f>Q94-Q90</f>
        <v>97.320000000006985</v>
      </c>
      <c r="R95" s="246"/>
      <c r="S95" s="246"/>
    </row>
    <row r="96" spans="1:24" hidden="1">
      <c r="J96" s="208">
        <v>419933.79927000002</v>
      </c>
    </row>
  </sheetData>
  <mergeCells count="64">
    <mergeCell ref="A28:A31"/>
    <mergeCell ref="U1:X1"/>
    <mergeCell ref="U2:X2"/>
    <mergeCell ref="A3:X3"/>
    <mergeCell ref="A5:A6"/>
    <mergeCell ref="B5:B6"/>
    <mergeCell ref="D5:D6"/>
    <mergeCell ref="G5:G6"/>
    <mergeCell ref="J5:J6"/>
    <mergeCell ref="N5:N6"/>
    <mergeCell ref="Q5:Q6"/>
    <mergeCell ref="T5:T6"/>
    <mergeCell ref="X5:X6"/>
    <mergeCell ref="B28:B30"/>
    <mergeCell ref="U5:U6"/>
    <mergeCell ref="V5:V6"/>
    <mergeCell ref="W5:W6"/>
    <mergeCell ref="A17:A18"/>
    <mergeCell ref="B17:B18"/>
    <mergeCell ref="V17:V18"/>
    <mergeCell ref="A25:A27"/>
    <mergeCell ref="B25:B27"/>
    <mergeCell ref="A7:X7"/>
    <mergeCell ref="A8:W8"/>
    <mergeCell ref="A9:W9"/>
    <mergeCell ref="A10:A12"/>
    <mergeCell ref="B10:B12"/>
    <mergeCell ref="O5:P5"/>
    <mergeCell ref="R5:S5"/>
    <mergeCell ref="B47:B48"/>
    <mergeCell ref="W47:W48"/>
    <mergeCell ref="A57:X57"/>
    <mergeCell ref="A32:A34"/>
    <mergeCell ref="B32:B34"/>
    <mergeCell ref="A36:A38"/>
    <mergeCell ref="B36:B38"/>
    <mergeCell ref="A40:A41"/>
    <mergeCell ref="B40:B41"/>
    <mergeCell ref="B55:B56"/>
    <mergeCell ref="X45:X56"/>
    <mergeCell ref="A72:A73"/>
    <mergeCell ref="A80:A81"/>
    <mergeCell ref="B80:B81"/>
    <mergeCell ref="A59:W59"/>
    <mergeCell ref="A66:A67"/>
    <mergeCell ref="B66:B67"/>
    <mergeCell ref="A68:A69"/>
    <mergeCell ref="B68:B69"/>
    <mergeCell ref="A82:A83"/>
    <mergeCell ref="B82:B83"/>
    <mergeCell ref="L5:M5"/>
    <mergeCell ref="B72:B73"/>
    <mergeCell ref="A74:A75"/>
    <mergeCell ref="B74:B75"/>
    <mergeCell ref="A76:A77"/>
    <mergeCell ref="B76:B77"/>
    <mergeCell ref="A78:A79"/>
    <mergeCell ref="B78:B79"/>
    <mergeCell ref="A58:W58"/>
    <mergeCell ref="A43:A44"/>
    <mergeCell ref="B43:B44"/>
    <mergeCell ref="A47:A48"/>
    <mergeCell ref="A70:A71"/>
    <mergeCell ref="B70:B71"/>
  </mergeCells>
  <pageMargins left="0.31496062992125984" right="0.31496062992125984" top="0.19685039370078741" bottom="0.19685039370078741" header="0.11811023622047245" footer="0.15748031496062992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07"/>
  <sheetViews>
    <sheetView view="pageBreakPreview" topLeftCell="A2" zoomScale="53" zoomScaleNormal="60" zoomScaleSheetLayoutView="53" workbookViewId="0">
      <selection activeCell="O2" sqref="O2:R5"/>
    </sheetView>
  </sheetViews>
  <sheetFormatPr defaultColWidth="9.140625" defaultRowHeight="23.25"/>
  <cols>
    <col min="1" max="1" width="8.85546875" style="249" customWidth="1"/>
    <col min="2" max="2" width="67.28515625" style="250" customWidth="1"/>
    <col min="3" max="3" width="17.85546875" style="8" hidden="1" customWidth="1"/>
    <col min="4" max="4" width="21.28515625" style="208" customWidth="1"/>
    <col min="5" max="5" width="28" style="208" hidden="1" customWidth="1"/>
    <col min="6" max="6" width="28.28515625" style="208" hidden="1" customWidth="1"/>
    <col min="7" max="7" width="24.85546875" style="208" bestFit="1" customWidth="1"/>
    <col min="8" max="9" width="28.28515625" style="208" hidden="1" customWidth="1"/>
    <col min="10" max="10" width="24.85546875" style="208" bestFit="1" customWidth="1"/>
    <col min="11" max="11" width="28.28515625" style="208" hidden="1" customWidth="1"/>
    <col min="12" max="12" width="25.85546875" style="208" bestFit="1" customWidth="1"/>
    <col min="13" max="13" width="34.140625" style="208" bestFit="1" customWidth="1"/>
    <col min="14" max="14" width="38.140625" style="251" customWidth="1"/>
    <col min="15" max="15" width="36.140625" style="270" customWidth="1"/>
    <col min="16" max="16" width="45.85546875" style="8" hidden="1" customWidth="1"/>
    <col min="17" max="17" width="35" style="8" customWidth="1"/>
    <col min="18" max="18" width="42.140625" style="8" customWidth="1"/>
    <col min="19" max="19" width="0.7109375" style="8" hidden="1" customWidth="1"/>
    <col min="20" max="24" width="9.140625" style="8" hidden="1" customWidth="1"/>
    <col min="25" max="25" width="6.85546875" style="8" customWidth="1"/>
    <col min="26" max="16384" width="9.140625" style="8"/>
  </cols>
  <sheetData>
    <row r="1" spans="1:18" ht="30.75" customHeight="1">
      <c r="O1" s="525" t="s">
        <v>163</v>
      </c>
      <c r="P1" s="525"/>
      <c r="Q1" s="525"/>
      <c r="R1" s="525"/>
    </row>
    <row r="2" spans="1:18" ht="29.25" customHeight="1">
      <c r="O2" s="525" t="s">
        <v>166</v>
      </c>
      <c r="P2" s="525"/>
      <c r="Q2" s="525"/>
      <c r="R2" s="525"/>
    </row>
    <row r="3" spans="1:18" ht="24" customHeight="1">
      <c r="O3" s="525" t="s">
        <v>185</v>
      </c>
      <c r="P3" s="525"/>
      <c r="Q3" s="525"/>
      <c r="R3" s="525"/>
    </row>
    <row r="4" spans="1:18" ht="27" customHeight="1">
      <c r="O4" s="525" t="s">
        <v>79</v>
      </c>
      <c r="P4" s="525"/>
      <c r="Q4" s="525"/>
      <c r="R4" s="525"/>
    </row>
    <row r="5" spans="1:18" ht="29.25" customHeight="1">
      <c r="O5" s="525"/>
      <c r="P5" s="525"/>
      <c r="Q5" s="525"/>
      <c r="R5" s="525"/>
    </row>
    <row r="6" spans="1:18" ht="21.75" customHeight="1">
      <c r="N6" s="252"/>
      <c r="O6" s="280"/>
      <c r="P6" s="253"/>
      <c r="Q6" s="253"/>
      <c r="R6" s="253"/>
    </row>
    <row r="7" spans="1:18" ht="31.5" customHeight="1">
      <c r="O7" s="525" t="s">
        <v>162</v>
      </c>
      <c r="P7" s="525"/>
      <c r="Q7" s="525"/>
      <c r="R7" s="525"/>
    </row>
    <row r="8" spans="1:18" ht="27.75" customHeight="1">
      <c r="O8" s="525" t="s">
        <v>161</v>
      </c>
      <c r="P8" s="525"/>
      <c r="Q8" s="525"/>
      <c r="R8" s="525"/>
    </row>
    <row r="9" spans="1:18" ht="27.75" customHeight="1">
      <c r="N9" s="252"/>
      <c r="O9" s="280"/>
      <c r="P9" s="280"/>
      <c r="Q9" s="280"/>
      <c r="R9" s="280"/>
    </row>
    <row r="10" spans="1:18" ht="57" customHeight="1">
      <c r="A10" s="527" t="s">
        <v>192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27"/>
    </row>
    <row r="11" spans="1:18" ht="28.5" customHeight="1"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5" t="s">
        <v>101</v>
      </c>
    </row>
    <row r="12" spans="1:18" ht="24.75">
      <c r="A12" s="490" t="s">
        <v>1</v>
      </c>
      <c r="B12" s="490" t="s">
        <v>2</v>
      </c>
      <c r="C12" s="256"/>
      <c r="D12" s="504" t="s">
        <v>164</v>
      </c>
      <c r="E12" s="257"/>
      <c r="F12" s="257"/>
      <c r="G12" s="504" t="s">
        <v>142</v>
      </c>
      <c r="H12" s="257"/>
      <c r="I12" s="257"/>
      <c r="J12" s="504" t="s">
        <v>143</v>
      </c>
      <c r="K12" s="258"/>
      <c r="L12" s="504" t="s">
        <v>144</v>
      </c>
      <c r="M12" s="504" t="s">
        <v>188</v>
      </c>
      <c r="N12" s="504" t="s">
        <v>3</v>
      </c>
      <c r="O12" s="490" t="s">
        <v>4</v>
      </c>
      <c r="P12" s="490" t="s">
        <v>4</v>
      </c>
      <c r="Q12" s="490" t="s">
        <v>160</v>
      </c>
      <c r="R12" s="490" t="s">
        <v>5</v>
      </c>
    </row>
    <row r="13" spans="1:18" ht="46.5" customHeight="1">
      <c r="A13" s="490"/>
      <c r="B13" s="490"/>
      <c r="C13" s="31" t="s">
        <v>80</v>
      </c>
      <c r="D13" s="504"/>
      <c r="E13" s="229" t="s">
        <v>72</v>
      </c>
      <c r="F13" s="229" t="s">
        <v>130</v>
      </c>
      <c r="G13" s="504"/>
      <c r="H13" s="229" t="s">
        <v>72</v>
      </c>
      <c r="I13" s="229" t="s">
        <v>131</v>
      </c>
      <c r="J13" s="504"/>
      <c r="K13" s="206" t="s">
        <v>72</v>
      </c>
      <c r="L13" s="504"/>
      <c r="M13" s="504"/>
      <c r="N13" s="504"/>
      <c r="O13" s="490"/>
      <c r="P13" s="490"/>
      <c r="Q13" s="490"/>
      <c r="R13" s="490"/>
    </row>
    <row r="14" spans="1:18" s="259" customFormat="1" ht="42.75" customHeight="1">
      <c r="A14" s="496" t="s">
        <v>6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6"/>
    </row>
    <row r="15" spans="1:18" s="262" customFormat="1" ht="54.75" customHeight="1">
      <c r="A15" s="493" t="s">
        <v>125</v>
      </c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4" t="s">
        <v>165</v>
      </c>
    </row>
    <row r="16" spans="1:18" s="262" customFormat="1" ht="107.25" customHeight="1">
      <c r="A16" s="505" t="s">
        <v>84</v>
      </c>
      <c r="B16" s="50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494"/>
    </row>
    <row r="17" spans="1:18" ht="107.25" customHeight="1">
      <c r="A17" s="501">
        <v>1</v>
      </c>
      <c r="B17" s="488" t="s">
        <v>31</v>
      </c>
      <c r="C17" s="25">
        <f>C24+C26+C27+C28+C29+C30</f>
        <v>23003.7</v>
      </c>
      <c r="D17" s="206">
        <f>D24+D26+D27+D28+D29+D30</f>
        <v>28774.5</v>
      </c>
      <c r="E17" s="206">
        <f>E24+E26+E27+E28+E29+E30</f>
        <v>5770.8</v>
      </c>
      <c r="F17" s="206">
        <f>F24+F26+F27+F28+F29+F30</f>
        <v>19980.199999999997</v>
      </c>
      <c r="G17" s="219">
        <v>51262.540999999997</v>
      </c>
      <c r="H17" s="206"/>
      <c r="I17" s="206">
        <f>I24+I26+I27+I28+I29+I30</f>
        <v>19980.199999999997</v>
      </c>
      <c r="J17" s="219">
        <f>J24+J26+J27+J28+J29+J30+J32</f>
        <v>36044.949999999997</v>
      </c>
      <c r="K17" s="219"/>
      <c r="L17" s="219">
        <f>L24+L26+L27+L28+L29+L30</f>
        <v>35024.5</v>
      </c>
      <c r="M17" s="219">
        <f>M24+M26+M27+M28+M29+M30</f>
        <v>35024.6</v>
      </c>
      <c r="N17" s="219">
        <f>D17+G17+J17+L17+M17</f>
        <v>186131.09099999999</v>
      </c>
      <c r="O17" s="31" t="s">
        <v>7</v>
      </c>
      <c r="P17" s="31"/>
      <c r="Q17" s="31" t="s">
        <v>159</v>
      </c>
      <c r="R17" s="494"/>
    </row>
    <row r="18" spans="1:18" ht="46.5" customHeight="1">
      <c r="A18" s="506"/>
      <c r="B18" s="507"/>
      <c r="C18" s="25">
        <f>C25</f>
        <v>2584.5</v>
      </c>
      <c r="D18" s="206">
        <f>D25</f>
        <v>2834.5</v>
      </c>
      <c r="E18" s="206">
        <f>E25</f>
        <v>250</v>
      </c>
      <c r="F18" s="206">
        <f>F25</f>
        <v>2584.5</v>
      </c>
      <c r="G18" s="219">
        <v>2734.7</v>
      </c>
      <c r="H18" s="206"/>
      <c r="I18" s="206">
        <f>I25</f>
        <v>2584.5</v>
      </c>
      <c r="J18" s="219">
        <f>J25+J33+J55</f>
        <v>3426.4532799999997</v>
      </c>
      <c r="K18" s="219">
        <f>K25+K40+K55</f>
        <v>841.95327999999995</v>
      </c>
      <c r="L18" s="219">
        <f>L25+L40</f>
        <v>2664.9775</v>
      </c>
      <c r="M18" s="219">
        <f>M25+M40</f>
        <v>2664.9775</v>
      </c>
      <c r="N18" s="219">
        <f t="shared" ref="N18:N20" si="0">D18+G18+J18+L18+M18</f>
        <v>14325.60828</v>
      </c>
      <c r="O18" s="31" t="s">
        <v>8</v>
      </c>
      <c r="P18" s="31"/>
      <c r="Q18" s="31"/>
      <c r="R18" s="494"/>
    </row>
    <row r="19" spans="1:18" ht="46.5" customHeight="1">
      <c r="A19" s="502"/>
      <c r="B19" s="489"/>
      <c r="C19" s="25"/>
      <c r="D19" s="206">
        <v>0</v>
      </c>
      <c r="E19" s="206"/>
      <c r="F19" s="206"/>
      <c r="G19" s="219">
        <v>0</v>
      </c>
      <c r="H19" s="206"/>
      <c r="I19" s="206"/>
      <c r="J19" s="219">
        <f>J34</f>
        <v>2699.7777799999999</v>
      </c>
      <c r="K19" s="219"/>
      <c r="L19" s="219">
        <v>0</v>
      </c>
      <c r="M19" s="219">
        <v>0</v>
      </c>
      <c r="N19" s="219">
        <f t="shared" si="0"/>
        <v>2699.7777799999999</v>
      </c>
      <c r="O19" s="31" t="s">
        <v>9</v>
      </c>
      <c r="P19" s="31"/>
      <c r="Q19" s="31"/>
      <c r="R19" s="494"/>
    </row>
    <row r="20" spans="1:18" ht="108.75" customHeight="1">
      <c r="A20" s="10"/>
      <c r="B20" s="263" t="s">
        <v>37</v>
      </c>
      <c r="C20" s="25">
        <f>C18+C17</f>
        <v>25588.2</v>
      </c>
      <c r="D20" s="206">
        <f>D18+D17</f>
        <v>31609</v>
      </c>
      <c r="E20" s="206">
        <f t="shared" ref="E20:I20" si="1">E18+E17</f>
        <v>6020.8</v>
      </c>
      <c r="F20" s="206">
        <f t="shared" si="1"/>
        <v>22564.699999999997</v>
      </c>
      <c r="G20" s="219">
        <f>G17+G18+G19</f>
        <v>53997.240999999995</v>
      </c>
      <c r="H20" s="206">
        <f t="shared" si="1"/>
        <v>0</v>
      </c>
      <c r="I20" s="206">
        <f t="shared" si="1"/>
        <v>22564.699999999997</v>
      </c>
      <c r="J20" s="219">
        <f>J18+J17+J19</f>
        <v>42171.181059999995</v>
      </c>
      <c r="K20" s="219">
        <f t="shared" ref="K20:M20" si="2">K18+K17+K19</f>
        <v>841.95327999999995</v>
      </c>
      <c r="L20" s="219">
        <f>L18+L17+L19</f>
        <v>37689.477500000001</v>
      </c>
      <c r="M20" s="219">
        <f t="shared" si="2"/>
        <v>37689.577499999999</v>
      </c>
      <c r="N20" s="219">
        <f t="shared" si="0"/>
        <v>203156.47706</v>
      </c>
      <c r="O20" s="31"/>
      <c r="P20" s="31"/>
      <c r="Q20" s="31"/>
      <c r="R20" s="494"/>
    </row>
    <row r="21" spans="1:18" ht="35.25" customHeight="1">
      <c r="A21" s="10"/>
      <c r="B21" s="263" t="s">
        <v>10</v>
      </c>
      <c r="C21" s="25"/>
      <c r="D21" s="236">
        <v>31609</v>
      </c>
      <c r="E21" s="236"/>
      <c r="F21" s="236"/>
      <c r="G21" s="247"/>
      <c r="H21" s="236"/>
      <c r="I21" s="236"/>
      <c r="J21" s="248">
        <v>42171.181060000003</v>
      </c>
      <c r="K21" s="248"/>
      <c r="L21" s="248">
        <v>37689.477500000001</v>
      </c>
      <c r="M21" s="248">
        <v>37689.577499999999</v>
      </c>
      <c r="N21" s="219"/>
      <c r="O21" s="31"/>
      <c r="P21" s="260"/>
      <c r="Q21" s="260"/>
      <c r="R21" s="494"/>
    </row>
    <row r="22" spans="1:18" ht="24" hidden="1" customHeight="1">
      <c r="A22" s="10"/>
      <c r="B22" s="263"/>
      <c r="C22" s="25"/>
      <c r="D22" s="229">
        <f>D21-D20</f>
        <v>0</v>
      </c>
      <c r="E22" s="229"/>
      <c r="F22" s="229"/>
      <c r="G22" s="219"/>
      <c r="H22" s="229"/>
      <c r="I22" s="229"/>
      <c r="J22" s="264">
        <f>J21-J20</f>
        <v>0</v>
      </c>
      <c r="K22" s="264">
        <f t="shared" ref="K22:L22" si="3">K21-K20</f>
        <v>-841.95327999999995</v>
      </c>
      <c r="L22" s="264">
        <f t="shared" si="3"/>
        <v>0</v>
      </c>
      <c r="M22" s="264">
        <f>M21-M20</f>
        <v>0</v>
      </c>
      <c r="N22" s="219"/>
      <c r="O22" s="31"/>
      <c r="P22" s="260"/>
      <c r="Q22" s="260"/>
      <c r="R22" s="494"/>
    </row>
    <row r="23" spans="1:18" ht="24" hidden="1" customHeight="1">
      <c r="A23" s="10"/>
      <c r="B23" s="263"/>
      <c r="C23" s="25"/>
      <c r="D23" s="229"/>
      <c r="E23" s="229"/>
      <c r="F23" s="229"/>
      <c r="G23" s="219"/>
      <c r="H23" s="229"/>
      <c r="I23" s="229"/>
      <c r="J23" s="264"/>
      <c r="K23" s="264"/>
      <c r="L23" s="264"/>
      <c r="M23" s="264"/>
      <c r="N23" s="219">
        <f t="shared" ref="N23" si="4">D23+G23+J23+L23+M23</f>
        <v>0</v>
      </c>
      <c r="O23" s="31"/>
      <c r="P23" s="260"/>
      <c r="Q23" s="260"/>
      <c r="R23" s="494"/>
    </row>
    <row r="24" spans="1:18" ht="66.75" customHeight="1">
      <c r="A24" s="486" t="s">
        <v>11</v>
      </c>
      <c r="B24" s="500" t="s">
        <v>186</v>
      </c>
      <c r="C24" s="25">
        <v>100</v>
      </c>
      <c r="D24" s="206">
        <v>100</v>
      </c>
      <c r="E24" s="206">
        <f t="shared" ref="E24:E46" si="5">D24-C24</f>
        <v>0</v>
      </c>
      <c r="F24" s="206">
        <v>100</v>
      </c>
      <c r="G24" s="219">
        <v>2.7</v>
      </c>
      <c r="H24" s="206">
        <f>G24-F24</f>
        <v>-97.3</v>
      </c>
      <c r="I24" s="206">
        <v>100</v>
      </c>
      <c r="J24" s="219">
        <v>3</v>
      </c>
      <c r="K24" s="219">
        <f t="shared" ref="K24:K46" si="6">J24-I24</f>
        <v>-97</v>
      </c>
      <c r="L24" s="219">
        <f>J24</f>
        <v>3</v>
      </c>
      <c r="M24" s="219">
        <f>J24</f>
        <v>3</v>
      </c>
      <c r="N24" s="219">
        <f>D24+G24+J24+L24+M24</f>
        <v>111.7</v>
      </c>
      <c r="O24" s="31" t="s">
        <v>12</v>
      </c>
      <c r="P24" s="490" t="s">
        <v>134</v>
      </c>
      <c r="Q24" s="31"/>
      <c r="R24" s="494"/>
    </row>
    <row r="25" spans="1:18" ht="55.5" customHeight="1">
      <c r="A25" s="496"/>
      <c r="B25" s="500"/>
      <c r="C25" s="25">
        <v>2584.5</v>
      </c>
      <c r="D25" s="206">
        <v>2834.5</v>
      </c>
      <c r="E25" s="206">
        <f t="shared" si="5"/>
        <v>250</v>
      </c>
      <c r="F25" s="206">
        <v>2584.5</v>
      </c>
      <c r="G25" s="219">
        <v>2734.7</v>
      </c>
      <c r="H25" s="206">
        <f>G25-F25</f>
        <v>150.19999999999982</v>
      </c>
      <c r="I25" s="206">
        <v>2584.5</v>
      </c>
      <c r="J25" s="219">
        <v>2664.9775</v>
      </c>
      <c r="K25" s="219">
        <f t="shared" si="6"/>
        <v>80.477499999999964</v>
      </c>
      <c r="L25" s="219">
        <f>J25</f>
        <v>2664.9775</v>
      </c>
      <c r="M25" s="219">
        <f>J25</f>
        <v>2664.9775</v>
      </c>
      <c r="N25" s="219">
        <f t="shared" ref="N25:N54" si="7">D25+G25+J25+L25+M25</f>
        <v>13564.1325</v>
      </c>
      <c r="O25" s="31" t="s">
        <v>8</v>
      </c>
      <c r="P25" s="492"/>
      <c r="Q25" s="266"/>
      <c r="R25" s="494"/>
    </row>
    <row r="26" spans="1:18" ht="79.5" customHeight="1">
      <c r="A26" s="265" t="s">
        <v>13</v>
      </c>
      <c r="B26" s="263" t="s">
        <v>187</v>
      </c>
      <c r="C26" s="25">
        <v>2358.6999999999998</v>
      </c>
      <c r="D26" s="206">
        <v>1996</v>
      </c>
      <c r="E26" s="206">
        <f t="shared" si="5"/>
        <v>-362.69999999999982</v>
      </c>
      <c r="F26" s="206">
        <v>2056.1</v>
      </c>
      <c r="G26" s="219">
        <v>3413.52</v>
      </c>
      <c r="H26" s="206">
        <f t="shared" ref="H26:H45" si="8">G26-F26</f>
        <v>1357.42</v>
      </c>
      <c r="I26" s="206">
        <v>2056.1</v>
      </c>
      <c r="J26" s="219">
        <f>3321.3+'поясеительная+'!M19</f>
        <v>3400.68</v>
      </c>
      <c r="K26" s="219">
        <f t="shared" si="6"/>
        <v>1344.58</v>
      </c>
      <c r="L26" s="219">
        <v>3321.3</v>
      </c>
      <c r="M26" s="219">
        <v>3321.3</v>
      </c>
      <c r="N26" s="219">
        <f t="shared" si="7"/>
        <v>15452.8</v>
      </c>
      <c r="O26" s="31" t="s">
        <v>12</v>
      </c>
      <c r="P26" s="31" t="s">
        <v>128</v>
      </c>
      <c r="Q26" s="31"/>
      <c r="R26" s="494"/>
    </row>
    <row r="27" spans="1:18" ht="79.5" customHeight="1">
      <c r="A27" s="265" t="s">
        <v>14</v>
      </c>
      <c r="B27" s="263" t="s">
        <v>177</v>
      </c>
      <c r="C27" s="25">
        <v>11117.2</v>
      </c>
      <c r="D27" s="206">
        <v>12059.5</v>
      </c>
      <c r="E27" s="206">
        <f t="shared" si="5"/>
        <v>942.29999999999927</v>
      </c>
      <c r="F27" s="206">
        <v>8452.5</v>
      </c>
      <c r="G27" s="219">
        <v>14827</v>
      </c>
      <c r="H27" s="206">
        <f t="shared" si="8"/>
        <v>6374.5</v>
      </c>
      <c r="I27" s="206">
        <v>8452.5</v>
      </c>
      <c r="J27" s="219">
        <f>14500+'поясеительная+'!M20</f>
        <v>15648.82</v>
      </c>
      <c r="K27" s="219">
        <f t="shared" si="6"/>
        <v>7196.32</v>
      </c>
      <c r="L27" s="219">
        <f>J27</f>
        <v>15648.82</v>
      </c>
      <c r="M27" s="219">
        <v>14500</v>
      </c>
      <c r="N27" s="219">
        <f t="shared" si="7"/>
        <v>72684.14</v>
      </c>
      <c r="O27" s="31" t="s">
        <v>12</v>
      </c>
      <c r="P27" s="31"/>
      <c r="Q27" s="31"/>
      <c r="R27" s="494"/>
    </row>
    <row r="28" spans="1:18" ht="60.75" customHeight="1">
      <c r="A28" s="265" t="s">
        <v>15</v>
      </c>
      <c r="B28" s="263" t="s">
        <v>196</v>
      </c>
      <c r="C28" s="25">
        <v>3000</v>
      </c>
      <c r="D28" s="206">
        <v>3500</v>
      </c>
      <c r="E28" s="206">
        <f t="shared" si="5"/>
        <v>500</v>
      </c>
      <c r="F28" s="206">
        <v>6000</v>
      </c>
      <c r="G28" s="219">
        <v>500</v>
      </c>
      <c r="H28" s="206">
        <f t="shared" si="8"/>
        <v>-5500</v>
      </c>
      <c r="I28" s="206">
        <v>6000</v>
      </c>
      <c r="J28" s="219">
        <v>5000</v>
      </c>
      <c r="K28" s="219">
        <f t="shared" si="6"/>
        <v>-1000</v>
      </c>
      <c r="L28" s="219">
        <v>5000</v>
      </c>
      <c r="M28" s="219">
        <v>5000</v>
      </c>
      <c r="N28" s="219">
        <f>D28+G28+J28+L28+M28</f>
        <v>19000</v>
      </c>
      <c r="O28" s="31" t="s">
        <v>12</v>
      </c>
      <c r="P28" s="31" t="s">
        <v>135</v>
      </c>
      <c r="Q28" s="31"/>
      <c r="R28" s="494"/>
    </row>
    <row r="29" spans="1:18" ht="72.75" customHeight="1">
      <c r="A29" s="265" t="s">
        <v>16</v>
      </c>
      <c r="B29" s="263" t="s">
        <v>178</v>
      </c>
      <c r="C29" s="25">
        <v>5861</v>
      </c>
      <c r="D29" s="206">
        <v>10552.2</v>
      </c>
      <c r="E29" s="206">
        <f t="shared" si="5"/>
        <v>4691.2000000000007</v>
      </c>
      <c r="F29" s="206">
        <v>3371.6</v>
      </c>
      <c r="G29" s="219">
        <v>18953.221000000001</v>
      </c>
      <c r="H29" s="206">
        <f t="shared" si="8"/>
        <v>15581.621000000001</v>
      </c>
      <c r="I29" s="206">
        <v>3371.6</v>
      </c>
      <c r="J29" s="219">
        <f>16720.3-5000+'поясеительная+'!M22</f>
        <v>11509.449999999999</v>
      </c>
      <c r="K29" s="219">
        <f t="shared" si="6"/>
        <v>8137.8499999999985</v>
      </c>
      <c r="L29" s="219">
        <f>16720.2-5000-1148.82</f>
        <v>10571.380000000001</v>
      </c>
      <c r="M29" s="219">
        <f>J29+219.85-9</f>
        <v>11720.3</v>
      </c>
      <c r="N29" s="219">
        <f t="shared" si="7"/>
        <v>63306.551000000007</v>
      </c>
      <c r="O29" s="31" t="s">
        <v>12</v>
      </c>
      <c r="P29" s="229" t="s">
        <v>136</v>
      </c>
      <c r="Q29" s="229"/>
      <c r="R29" s="494"/>
    </row>
    <row r="30" spans="1:18" ht="104.25" customHeight="1">
      <c r="A30" s="265" t="s">
        <v>17</v>
      </c>
      <c r="B30" s="263" t="s">
        <v>190</v>
      </c>
      <c r="C30" s="25">
        <v>566.79999999999995</v>
      </c>
      <c r="D30" s="206">
        <v>566.79999999999995</v>
      </c>
      <c r="E30" s="206">
        <f t="shared" si="5"/>
        <v>0</v>
      </c>
      <c r="F30" s="206">
        <v>0</v>
      </c>
      <c r="G30" s="219">
        <v>540</v>
      </c>
      <c r="H30" s="206">
        <f t="shared" si="8"/>
        <v>540</v>
      </c>
      <c r="I30" s="206">
        <v>0</v>
      </c>
      <c r="J30" s="219">
        <v>480</v>
      </c>
      <c r="K30" s="219">
        <f t="shared" si="6"/>
        <v>480</v>
      </c>
      <c r="L30" s="219">
        <f t="shared" ref="L30" si="9">J30</f>
        <v>480</v>
      </c>
      <c r="M30" s="219">
        <f>J30</f>
        <v>480</v>
      </c>
      <c r="N30" s="219">
        <f t="shared" si="7"/>
        <v>2546.8000000000002</v>
      </c>
      <c r="O30" s="31" t="s">
        <v>12</v>
      </c>
      <c r="P30" s="31"/>
      <c r="Q30" s="31"/>
      <c r="R30" s="494"/>
    </row>
    <row r="31" spans="1:18" ht="120" customHeight="1">
      <c r="A31" s="265" t="s">
        <v>18</v>
      </c>
      <c r="B31" s="263" t="s">
        <v>184</v>
      </c>
      <c r="C31" s="25"/>
      <c r="D31" s="206">
        <v>0</v>
      </c>
      <c r="E31" s="206"/>
      <c r="F31" s="206"/>
      <c r="G31" s="219">
        <v>13026.1</v>
      </c>
      <c r="H31" s="206"/>
      <c r="I31" s="206"/>
      <c r="J31" s="219">
        <v>0</v>
      </c>
      <c r="K31" s="219"/>
      <c r="L31" s="219">
        <v>0</v>
      </c>
      <c r="M31" s="219">
        <v>0</v>
      </c>
      <c r="N31" s="219">
        <f t="shared" si="7"/>
        <v>13026.1</v>
      </c>
      <c r="O31" s="31" t="s">
        <v>12</v>
      </c>
      <c r="P31" s="31"/>
      <c r="Q31" s="31"/>
      <c r="R31" s="494"/>
    </row>
    <row r="32" spans="1:18" ht="24">
      <c r="A32" s="513" t="s">
        <v>19</v>
      </c>
      <c r="B32" s="488" t="s">
        <v>189</v>
      </c>
      <c r="C32" s="25"/>
      <c r="D32" s="206">
        <v>0</v>
      </c>
      <c r="E32" s="206"/>
      <c r="F32" s="206"/>
      <c r="G32" s="219">
        <v>0</v>
      </c>
      <c r="H32" s="206"/>
      <c r="I32" s="206"/>
      <c r="J32" s="219">
        <v>3</v>
      </c>
      <c r="K32" s="219"/>
      <c r="L32" s="219">
        <v>0</v>
      </c>
      <c r="M32" s="219">
        <v>0</v>
      </c>
      <c r="N32" s="219">
        <f t="shared" si="7"/>
        <v>3</v>
      </c>
      <c r="O32" s="31" t="s">
        <v>12</v>
      </c>
      <c r="P32" s="31"/>
      <c r="Q32" s="31"/>
      <c r="R32" s="494"/>
    </row>
    <row r="33" spans="1:18" ht="24">
      <c r="A33" s="514"/>
      <c r="B33" s="514"/>
      <c r="C33" s="25"/>
      <c r="D33" s="206">
        <v>0</v>
      </c>
      <c r="E33" s="206"/>
      <c r="F33" s="206"/>
      <c r="G33" s="219">
        <v>0</v>
      </c>
      <c r="H33" s="206"/>
      <c r="I33" s="206"/>
      <c r="J33" s="219">
        <v>761.47577999999999</v>
      </c>
      <c r="K33" s="219"/>
      <c r="L33" s="219">
        <v>0</v>
      </c>
      <c r="M33" s="219">
        <v>0</v>
      </c>
      <c r="N33" s="219">
        <f t="shared" si="7"/>
        <v>761.47577999999999</v>
      </c>
      <c r="O33" s="31" t="s">
        <v>8</v>
      </c>
      <c r="P33" s="31"/>
      <c r="Q33" s="31"/>
      <c r="R33" s="494"/>
    </row>
    <row r="34" spans="1:18" ht="24">
      <c r="A34" s="489"/>
      <c r="B34" s="489"/>
      <c r="C34" s="25"/>
      <c r="D34" s="206">
        <v>0</v>
      </c>
      <c r="E34" s="206"/>
      <c r="F34" s="206"/>
      <c r="G34" s="219">
        <v>0</v>
      </c>
      <c r="H34" s="206"/>
      <c r="I34" s="206"/>
      <c r="J34" s="219">
        <v>2699.7777799999999</v>
      </c>
      <c r="K34" s="219"/>
      <c r="L34" s="219">
        <v>0</v>
      </c>
      <c r="M34" s="219">
        <v>0</v>
      </c>
      <c r="N34" s="219">
        <f t="shared" si="7"/>
        <v>2699.7777799999999</v>
      </c>
      <c r="O34" s="31" t="s">
        <v>9</v>
      </c>
      <c r="P34" s="31"/>
      <c r="Q34" s="31"/>
      <c r="R34" s="494"/>
    </row>
    <row r="35" spans="1:18" s="268" customFormat="1" ht="50.25" customHeight="1">
      <c r="A35" s="572">
        <v>2</v>
      </c>
      <c r="B35" s="575" t="s">
        <v>32</v>
      </c>
      <c r="C35" s="214"/>
      <c r="D35" s="215">
        <v>560</v>
      </c>
      <c r="E35" s="215"/>
      <c r="F35" s="215"/>
      <c r="G35" s="222">
        <v>116</v>
      </c>
      <c r="H35" s="215"/>
      <c r="I35" s="215"/>
      <c r="J35" s="222">
        <v>0</v>
      </c>
      <c r="K35" s="222"/>
      <c r="L35" s="222">
        <v>0</v>
      </c>
      <c r="M35" s="222">
        <v>0</v>
      </c>
      <c r="N35" s="219">
        <f t="shared" si="7"/>
        <v>676</v>
      </c>
      <c r="O35" s="267" t="s">
        <v>12</v>
      </c>
      <c r="P35" s="267"/>
      <c r="Q35" s="267"/>
      <c r="R35" s="494"/>
    </row>
    <row r="36" spans="1:18" s="268" customFormat="1" ht="50.25" customHeight="1">
      <c r="A36" s="573"/>
      <c r="B36" s="576"/>
      <c r="C36" s="214"/>
      <c r="D36" s="215">
        <v>1016.4</v>
      </c>
      <c r="E36" s="215"/>
      <c r="F36" s="215"/>
      <c r="G36" s="222">
        <v>600</v>
      </c>
      <c r="H36" s="215"/>
      <c r="I36" s="215"/>
      <c r="J36" s="222">
        <v>0</v>
      </c>
      <c r="K36" s="222"/>
      <c r="L36" s="222">
        <v>0</v>
      </c>
      <c r="M36" s="222">
        <v>0</v>
      </c>
      <c r="N36" s="219">
        <f t="shared" si="7"/>
        <v>1616.4</v>
      </c>
      <c r="O36" s="267" t="s">
        <v>8</v>
      </c>
      <c r="P36" s="267"/>
      <c r="Q36" s="267"/>
      <c r="R36" s="494"/>
    </row>
    <row r="37" spans="1:18" s="268" customFormat="1" ht="85.5" customHeight="1">
      <c r="A37" s="573"/>
      <c r="B37" s="577"/>
      <c r="C37" s="214"/>
      <c r="D37" s="215">
        <v>6692.4</v>
      </c>
      <c r="E37" s="215"/>
      <c r="F37" s="215"/>
      <c r="G37" s="222">
        <v>2257.1999999999998</v>
      </c>
      <c r="H37" s="215"/>
      <c r="I37" s="215"/>
      <c r="J37" s="222">
        <v>0</v>
      </c>
      <c r="K37" s="222"/>
      <c r="L37" s="222">
        <v>0</v>
      </c>
      <c r="M37" s="222">
        <v>0</v>
      </c>
      <c r="N37" s="219">
        <f t="shared" si="7"/>
        <v>8949.5999999999985</v>
      </c>
      <c r="O37" s="267" t="s">
        <v>9</v>
      </c>
      <c r="P37" s="267"/>
      <c r="Q37" s="267"/>
      <c r="R37" s="494"/>
    </row>
    <row r="38" spans="1:18" s="268" customFormat="1" ht="79.5" customHeight="1">
      <c r="A38" s="574"/>
      <c r="B38" s="267" t="s">
        <v>38</v>
      </c>
      <c r="C38" s="214"/>
      <c r="D38" s="215">
        <f>D35+D36+D37</f>
        <v>8268.7999999999993</v>
      </c>
      <c r="E38" s="215">
        <f t="shared" ref="E38:K38" si="10">E35+E36+E37</f>
        <v>0</v>
      </c>
      <c r="F38" s="215">
        <f t="shared" si="10"/>
        <v>0</v>
      </c>
      <c r="G38" s="222">
        <f t="shared" si="10"/>
        <v>2973.2</v>
      </c>
      <c r="H38" s="215">
        <f t="shared" si="10"/>
        <v>0</v>
      </c>
      <c r="I38" s="215">
        <f t="shared" si="10"/>
        <v>0</v>
      </c>
      <c r="J38" s="222">
        <f t="shared" si="10"/>
        <v>0</v>
      </c>
      <c r="K38" s="222">
        <f t="shared" si="10"/>
        <v>0</v>
      </c>
      <c r="L38" s="222">
        <v>0</v>
      </c>
      <c r="M38" s="222">
        <v>0</v>
      </c>
      <c r="N38" s="219">
        <f>D38+G38+J38+L38+M38</f>
        <v>11242</v>
      </c>
      <c r="O38" s="267"/>
      <c r="P38" s="267"/>
      <c r="Q38" s="267" t="s">
        <v>195</v>
      </c>
      <c r="R38" s="494"/>
    </row>
    <row r="39" spans="1:18" ht="37.5" customHeight="1">
      <c r="A39" s="486" t="s">
        <v>48</v>
      </c>
      <c r="B39" s="499" t="s">
        <v>189</v>
      </c>
      <c r="C39" s="25">
        <v>500</v>
      </c>
      <c r="D39" s="206">
        <v>500</v>
      </c>
      <c r="E39" s="206">
        <f t="shared" si="5"/>
        <v>0</v>
      </c>
      <c r="F39" s="206">
        <v>500</v>
      </c>
      <c r="G39" s="219">
        <v>0</v>
      </c>
      <c r="H39" s="206">
        <f t="shared" si="8"/>
        <v>-500</v>
      </c>
      <c r="I39" s="206">
        <v>0</v>
      </c>
      <c r="J39" s="222">
        <v>0</v>
      </c>
      <c r="K39" s="219">
        <f>J32-I39</f>
        <v>3</v>
      </c>
      <c r="L39" s="219">
        <v>0</v>
      </c>
      <c r="M39" s="219">
        <v>0</v>
      </c>
      <c r="N39" s="219">
        <f>D39+G39+J32+L39+M39</f>
        <v>503</v>
      </c>
      <c r="O39" s="31" t="s">
        <v>12</v>
      </c>
      <c r="P39" s="31"/>
      <c r="Q39" s="31"/>
      <c r="R39" s="494"/>
    </row>
    <row r="40" spans="1:18" ht="38.25" customHeight="1">
      <c r="A40" s="496"/>
      <c r="B40" s="500"/>
      <c r="C40" s="25">
        <v>874.6</v>
      </c>
      <c r="D40" s="206">
        <v>874.6</v>
      </c>
      <c r="E40" s="206">
        <f t="shared" si="5"/>
        <v>0</v>
      </c>
      <c r="F40" s="206">
        <v>914.7</v>
      </c>
      <c r="G40" s="219">
        <v>0</v>
      </c>
      <c r="H40" s="206">
        <f t="shared" si="8"/>
        <v>-914.7</v>
      </c>
      <c r="I40" s="206">
        <v>0</v>
      </c>
      <c r="J40" s="222">
        <v>0</v>
      </c>
      <c r="K40" s="219">
        <f>J33-I40</f>
        <v>761.47577999999999</v>
      </c>
      <c r="L40" s="219">
        <v>0</v>
      </c>
      <c r="M40" s="219">
        <v>0</v>
      </c>
      <c r="N40" s="219">
        <f>D40+G40+J33+L40+M40</f>
        <v>1636.0757800000001</v>
      </c>
      <c r="O40" s="31" t="s">
        <v>8</v>
      </c>
      <c r="P40" s="31"/>
      <c r="Q40" s="31"/>
      <c r="R40" s="494"/>
    </row>
    <row r="41" spans="1:18" ht="31.5" customHeight="1">
      <c r="A41" s="496"/>
      <c r="B41" s="500"/>
      <c r="C41" s="25">
        <v>3290.2</v>
      </c>
      <c r="D41" s="206">
        <v>3290.2</v>
      </c>
      <c r="E41" s="206">
        <f t="shared" si="5"/>
        <v>0</v>
      </c>
      <c r="F41" s="206">
        <v>3440.8</v>
      </c>
      <c r="G41" s="219">
        <v>0</v>
      </c>
      <c r="H41" s="206">
        <f t="shared" si="8"/>
        <v>-3440.8</v>
      </c>
      <c r="I41" s="206">
        <v>0</v>
      </c>
      <c r="J41" s="222">
        <v>0</v>
      </c>
      <c r="K41" s="219">
        <f>J34-I41</f>
        <v>2699.7777799999999</v>
      </c>
      <c r="L41" s="219">
        <v>0</v>
      </c>
      <c r="M41" s="219">
        <v>0</v>
      </c>
      <c r="N41" s="219">
        <f>D41+G41+J34+L41+M41</f>
        <v>5989.9777799999993</v>
      </c>
      <c r="O41" s="31" t="s">
        <v>9</v>
      </c>
      <c r="P41" s="31"/>
      <c r="Q41" s="31"/>
      <c r="R41" s="494"/>
    </row>
    <row r="42" spans="1:18" ht="72.75" customHeight="1">
      <c r="A42" s="10"/>
      <c r="B42" s="263" t="s">
        <v>60</v>
      </c>
      <c r="C42" s="25">
        <f>C39+C40+C41</f>
        <v>4664.7999999999993</v>
      </c>
      <c r="D42" s="206">
        <f>D39+D40+D41</f>
        <v>4664.7999999999993</v>
      </c>
      <c r="E42" s="206">
        <f t="shared" si="5"/>
        <v>0</v>
      </c>
      <c r="F42" s="206">
        <f>F39+F40+F41</f>
        <v>4855.5</v>
      </c>
      <c r="G42" s="219">
        <f>G39+G40+G41</f>
        <v>0</v>
      </c>
      <c r="H42" s="206">
        <f t="shared" si="8"/>
        <v>-4855.5</v>
      </c>
      <c r="I42" s="206">
        <f>I39+I40+I41</f>
        <v>0</v>
      </c>
      <c r="J42" s="219">
        <v>0</v>
      </c>
      <c r="K42" s="219">
        <f t="shared" si="6"/>
        <v>0</v>
      </c>
      <c r="L42" s="219">
        <v>0</v>
      </c>
      <c r="M42" s="219">
        <v>0</v>
      </c>
      <c r="N42" s="219">
        <f t="shared" si="7"/>
        <v>4664.7999999999993</v>
      </c>
      <c r="O42" s="31"/>
      <c r="P42" s="31"/>
      <c r="Q42" s="31"/>
      <c r="R42" s="494"/>
    </row>
    <row r="43" spans="1:18" ht="76.5" customHeight="1">
      <c r="A43" s="486" t="s">
        <v>61</v>
      </c>
      <c r="B43" s="500" t="s">
        <v>179</v>
      </c>
      <c r="C43" s="25">
        <v>60</v>
      </c>
      <c r="D43" s="206">
        <v>60</v>
      </c>
      <c r="E43" s="206">
        <f t="shared" si="5"/>
        <v>0</v>
      </c>
      <c r="F43" s="206">
        <v>62</v>
      </c>
      <c r="G43" s="219">
        <v>0</v>
      </c>
      <c r="H43" s="206">
        <f t="shared" si="8"/>
        <v>-62</v>
      </c>
      <c r="I43" s="206">
        <v>0</v>
      </c>
      <c r="J43" s="219">
        <v>0</v>
      </c>
      <c r="K43" s="219">
        <f t="shared" si="6"/>
        <v>0</v>
      </c>
      <c r="L43" s="219">
        <v>0</v>
      </c>
      <c r="M43" s="219">
        <v>0</v>
      </c>
      <c r="N43" s="219">
        <f t="shared" si="7"/>
        <v>60</v>
      </c>
      <c r="O43" s="31" t="s">
        <v>12</v>
      </c>
      <c r="P43" s="31"/>
      <c r="Q43" s="31"/>
      <c r="R43" s="494"/>
    </row>
    <row r="44" spans="1:18" ht="62.25" customHeight="1">
      <c r="A44" s="496"/>
      <c r="B44" s="500"/>
      <c r="C44" s="25">
        <v>141.80000000000001</v>
      </c>
      <c r="D44" s="206">
        <v>141.80000000000001</v>
      </c>
      <c r="E44" s="206">
        <f t="shared" si="5"/>
        <v>0</v>
      </c>
      <c r="F44" s="206">
        <v>147.19999999999999</v>
      </c>
      <c r="G44" s="219">
        <v>0</v>
      </c>
      <c r="H44" s="206">
        <f t="shared" si="8"/>
        <v>-147.19999999999999</v>
      </c>
      <c r="I44" s="206">
        <v>0</v>
      </c>
      <c r="J44" s="219">
        <v>0</v>
      </c>
      <c r="K44" s="219">
        <f t="shared" si="6"/>
        <v>0</v>
      </c>
      <c r="L44" s="219">
        <v>0</v>
      </c>
      <c r="M44" s="219">
        <v>0</v>
      </c>
      <c r="N44" s="219">
        <f t="shared" si="7"/>
        <v>141.80000000000001</v>
      </c>
      <c r="O44" s="31" t="s">
        <v>8</v>
      </c>
      <c r="P44" s="31"/>
      <c r="Q44" s="31"/>
      <c r="R44" s="494"/>
    </row>
    <row r="45" spans="1:18" ht="76.5" customHeight="1">
      <c r="A45" s="496"/>
      <c r="B45" s="500"/>
      <c r="C45" s="25">
        <v>3402.2</v>
      </c>
      <c r="D45" s="206">
        <v>3402.2</v>
      </c>
      <c r="E45" s="206">
        <f t="shared" si="5"/>
        <v>0</v>
      </c>
      <c r="F45" s="206">
        <v>3533</v>
      </c>
      <c r="G45" s="219">
        <v>0</v>
      </c>
      <c r="H45" s="206">
        <f t="shared" si="8"/>
        <v>-3533</v>
      </c>
      <c r="I45" s="206">
        <v>0</v>
      </c>
      <c r="J45" s="219">
        <v>0</v>
      </c>
      <c r="K45" s="219">
        <f t="shared" si="6"/>
        <v>0</v>
      </c>
      <c r="L45" s="219">
        <v>0</v>
      </c>
      <c r="M45" s="219">
        <v>0</v>
      </c>
      <c r="N45" s="219">
        <f t="shared" si="7"/>
        <v>3402.2</v>
      </c>
      <c r="O45" s="31" t="s">
        <v>9</v>
      </c>
      <c r="P45" s="31"/>
      <c r="Q45" s="31"/>
      <c r="R45" s="494"/>
    </row>
    <row r="46" spans="1:18" ht="223.5" customHeight="1">
      <c r="A46" s="10"/>
      <c r="B46" s="263" t="s">
        <v>69</v>
      </c>
      <c r="C46" s="25">
        <f>C43+C44+C45</f>
        <v>3604</v>
      </c>
      <c r="D46" s="206">
        <f t="shared" ref="D46:J46" si="11">D43+D44+D45</f>
        <v>3604</v>
      </c>
      <c r="E46" s="206">
        <f t="shared" si="5"/>
        <v>0</v>
      </c>
      <c r="F46" s="206">
        <f t="shared" si="11"/>
        <v>3742.2</v>
      </c>
      <c r="G46" s="219">
        <v>0</v>
      </c>
      <c r="H46" s="206">
        <f t="shared" si="11"/>
        <v>-3742.2</v>
      </c>
      <c r="I46" s="206">
        <f t="shared" si="11"/>
        <v>0</v>
      </c>
      <c r="J46" s="219">
        <f t="shared" si="11"/>
        <v>0</v>
      </c>
      <c r="K46" s="219">
        <f t="shared" si="6"/>
        <v>0</v>
      </c>
      <c r="L46" s="219">
        <v>0</v>
      </c>
      <c r="M46" s="219">
        <v>0</v>
      </c>
      <c r="N46" s="219">
        <f t="shared" si="7"/>
        <v>3604</v>
      </c>
      <c r="O46" s="31"/>
      <c r="P46" s="31"/>
      <c r="Q46" s="31"/>
      <c r="R46" s="494"/>
    </row>
    <row r="47" spans="1:18" ht="78" customHeight="1">
      <c r="A47" s="501">
        <v>3</v>
      </c>
      <c r="B47" s="488" t="s">
        <v>51</v>
      </c>
      <c r="C47" s="25">
        <v>7251.3</v>
      </c>
      <c r="D47" s="206">
        <v>7506.7</v>
      </c>
      <c r="E47" s="206">
        <f>D47-C47</f>
        <v>255.39999999999964</v>
      </c>
      <c r="F47" s="206">
        <v>6849.6</v>
      </c>
      <c r="G47" s="219">
        <v>10304.700000000001</v>
      </c>
      <c r="H47" s="206">
        <f>G47-F47</f>
        <v>3455.1000000000004</v>
      </c>
      <c r="I47" s="206">
        <v>6849.6</v>
      </c>
      <c r="J47" s="219">
        <f>8194.6+'поясеительная+'!M40</f>
        <v>12333.6</v>
      </c>
      <c r="K47" s="219">
        <f>J47-I47</f>
        <v>5484</v>
      </c>
      <c r="L47" s="219">
        <v>8194.6</v>
      </c>
      <c r="M47" s="219">
        <v>8194.6</v>
      </c>
      <c r="N47" s="219">
        <f>D47+G47+J47+L47+M47</f>
        <v>46534.2</v>
      </c>
      <c r="O47" s="31" t="s">
        <v>12</v>
      </c>
      <c r="P47" s="31" t="s">
        <v>137</v>
      </c>
      <c r="Q47" s="31" t="s">
        <v>159</v>
      </c>
      <c r="R47" s="494"/>
    </row>
    <row r="48" spans="1:18" ht="78" customHeight="1">
      <c r="A48" s="502"/>
      <c r="B48" s="489"/>
      <c r="C48" s="25"/>
      <c r="D48" s="206">
        <v>0</v>
      </c>
      <c r="E48" s="206"/>
      <c r="F48" s="206"/>
      <c r="G48" s="219">
        <v>250</v>
      </c>
      <c r="H48" s="206"/>
      <c r="I48" s="206"/>
      <c r="J48" s="219">
        <v>0</v>
      </c>
      <c r="K48" s="219"/>
      <c r="L48" s="219">
        <v>0</v>
      </c>
      <c r="M48" s="219">
        <v>0</v>
      </c>
      <c r="N48" s="219">
        <f t="shared" si="7"/>
        <v>250</v>
      </c>
      <c r="O48" s="31" t="s">
        <v>8</v>
      </c>
      <c r="P48" s="31"/>
      <c r="Q48" s="31"/>
      <c r="R48" s="494"/>
    </row>
    <row r="49" spans="1:18" ht="57" customHeight="1">
      <c r="A49" s="10">
        <v>4</v>
      </c>
      <c r="B49" s="263" t="s">
        <v>86</v>
      </c>
      <c r="C49" s="25">
        <f>C50+C51</f>
        <v>40000</v>
      </c>
      <c r="D49" s="206">
        <f>D50+D51</f>
        <v>40000</v>
      </c>
      <c r="E49" s="206">
        <f t="shared" ref="E49:F49" si="12">E50+E51</f>
        <v>0</v>
      </c>
      <c r="F49" s="206">
        <f t="shared" si="12"/>
        <v>0</v>
      </c>
      <c r="G49" s="219">
        <v>0</v>
      </c>
      <c r="H49" s="206"/>
      <c r="I49" s="206"/>
      <c r="J49" s="219">
        <v>0</v>
      </c>
      <c r="K49" s="219"/>
      <c r="L49" s="219">
        <v>0</v>
      </c>
      <c r="M49" s="219">
        <v>0</v>
      </c>
      <c r="N49" s="219">
        <f t="shared" si="7"/>
        <v>40000</v>
      </c>
      <c r="O49" s="31"/>
      <c r="P49" s="31"/>
      <c r="Q49" s="31" t="s">
        <v>159</v>
      </c>
      <c r="R49" s="494"/>
    </row>
    <row r="50" spans="1:18" ht="117" customHeight="1">
      <c r="A50" s="497" t="s">
        <v>54</v>
      </c>
      <c r="B50" s="500" t="s">
        <v>182</v>
      </c>
      <c r="C50" s="25">
        <v>40</v>
      </c>
      <c r="D50" s="206">
        <v>40</v>
      </c>
      <c r="E50" s="206"/>
      <c r="F50" s="206">
        <v>0</v>
      </c>
      <c r="G50" s="219">
        <v>0</v>
      </c>
      <c r="H50" s="206"/>
      <c r="I50" s="206">
        <v>0</v>
      </c>
      <c r="J50" s="219">
        <v>0</v>
      </c>
      <c r="K50" s="219"/>
      <c r="L50" s="219">
        <v>0</v>
      </c>
      <c r="M50" s="219">
        <v>0</v>
      </c>
      <c r="N50" s="219">
        <f t="shared" si="7"/>
        <v>40</v>
      </c>
      <c r="O50" s="31" t="str">
        <f>O47</f>
        <v>Бюджет ЗГО</v>
      </c>
      <c r="P50" s="31"/>
      <c r="Q50" s="31"/>
      <c r="R50" s="494"/>
    </row>
    <row r="51" spans="1:18" ht="117" customHeight="1">
      <c r="A51" s="497"/>
      <c r="B51" s="503"/>
      <c r="C51" s="25">
        <v>39960</v>
      </c>
      <c r="D51" s="206">
        <v>39960</v>
      </c>
      <c r="E51" s="206"/>
      <c r="F51" s="206">
        <v>0</v>
      </c>
      <c r="G51" s="219">
        <v>0</v>
      </c>
      <c r="H51" s="206"/>
      <c r="I51" s="206">
        <v>0</v>
      </c>
      <c r="J51" s="219">
        <v>0</v>
      </c>
      <c r="K51" s="219"/>
      <c r="L51" s="219">
        <v>0</v>
      </c>
      <c r="M51" s="219">
        <v>0</v>
      </c>
      <c r="N51" s="219">
        <f t="shared" si="7"/>
        <v>39960</v>
      </c>
      <c r="O51" s="31" t="str">
        <f>O44</f>
        <v>Областной бюджет</v>
      </c>
      <c r="P51" s="31"/>
      <c r="Q51" s="31"/>
      <c r="R51" s="494"/>
    </row>
    <row r="52" spans="1:18" ht="107.25" customHeight="1">
      <c r="A52" s="10">
        <v>5</v>
      </c>
      <c r="B52" s="263" t="s">
        <v>100</v>
      </c>
      <c r="C52" s="25">
        <f>C53+C54</f>
        <v>87588.9</v>
      </c>
      <c r="D52" s="206">
        <f>D53</f>
        <v>84088.9</v>
      </c>
      <c r="E52" s="206">
        <f t="shared" ref="E52:F52" si="13">E53</f>
        <v>0</v>
      </c>
      <c r="F52" s="206">
        <f t="shared" si="13"/>
        <v>0</v>
      </c>
      <c r="G52" s="219">
        <v>0</v>
      </c>
      <c r="H52" s="219">
        <f t="shared" ref="H52:K52" si="14">H53+H54+H55</f>
        <v>0</v>
      </c>
      <c r="I52" s="219">
        <f t="shared" si="14"/>
        <v>0</v>
      </c>
      <c r="J52" s="219">
        <f t="shared" si="14"/>
        <v>0</v>
      </c>
      <c r="K52" s="219">
        <f t="shared" si="14"/>
        <v>0</v>
      </c>
      <c r="L52" s="219">
        <f>L55</f>
        <v>22650.351999999999</v>
      </c>
      <c r="M52" s="219">
        <f>M55</f>
        <v>97224.21</v>
      </c>
      <c r="N52" s="219">
        <f t="shared" si="7"/>
        <v>203963.462</v>
      </c>
      <c r="P52" s="31"/>
      <c r="Q52" s="31" t="s">
        <v>220</v>
      </c>
      <c r="R52" s="494"/>
    </row>
    <row r="53" spans="1:18" ht="140.25" customHeight="1">
      <c r="A53" s="269" t="s">
        <v>123</v>
      </c>
      <c r="B53" s="263" t="s">
        <v>180</v>
      </c>
      <c r="C53" s="25">
        <f>87588.9-3500</f>
        <v>84088.9</v>
      </c>
      <c r="D53" s="206">
        <v>84088.9</v>
      </c>
      <c r="E53" s="206"/>
      <c r="F53" s="206">
        <v>0</v>
      </c>
      <c r="G53" s="219">
        <v>590</v>
      </c>
      <c r="H53" s="206"/>
      <c r="I53" s="206">
        <v>0</v>
      </c>
      <c r="J53" s="219">
        <v>0</v>
      </c>
      <c r="K53" s="219"/>
      <c r="L53" s="219">
        <v>32.4</v>
      </c>
      <c r="M53" s="219">
        <v>97.3</v>
      </c>
      <c r="N53" s="219">
        <f>D53+G53+J53+L53+M53</f>
        <v>84808.599999999991</v>
      </c>
      <c r="O53" s="31" t="s">
        <v>99</v>
      </c>
      <c r="P53" s="31"/>
      <c r="Q53" s="31" t="s">
        <v>159</v>
      </c>
      <c r="R53" s="494"/>
    </row>
    <row r="54" spans="1:18" ht="39" customHeight="1">
      <c r="A54" s="497" t="s">
        <v>124</v>
      </c>
      <c r="B54" s="500" t="s">
        <v>208</v>
      </c>
      <c r="C54" s="25">
        <v>3500</v>
      </c>
      <c r="D54" s="206">
        <v>0</v>
      </c>
      <c r="E54" s="206"/>
      <c r="F54" s="206">
        <v>0</v>
      </c>
      <c r="G54" s="219">
        <v>0</v>
      </c>
      <c r="H54" s="206"/>
      <c r="I54" s="206">
        <v>0</v>
      </c>
      <c r="J54" s="219">
        <v>0</v>
      </c>
      <c r="K54" s="219"/>
      <c r="L54" s="219">
        <v>32.4</v>
      </c>
      <c r="M54" s="219">
        <v>97.3</v>
      </c>
      <c r="N54" s="219">
        <f t="shared" si="7"/>
        <v>129.69999999999999</v>
      </c>
      <c r="O54" s="31" t="s">
        <v>99</v>
      </c>
      <c r="P54" s="31"/>
      <c r="Q54" s="504" t="s">
        <v>221</v>
      </c>
      <c r="R54" s="494"/>
    </row>
    <row r="55" spans="1:18" ht="78.75" customHeight="1">
      <c r="A55" s="487"/>
      <c r="B55" s="503"/>
      <c r="C55" s="25"/>
      <c r="D55" s="206">
        <v>0</v>
      </c>
      <c r="E55" s="206"/>
      <c r="F55" s="206"/>
      <c r="G55" s="219">
        <v>0</v>
      </c>
      <c r="H55" s="206"/>
      <c r="I55" s="206"/>
      <c r="J55" s="219">
        <v>0</v>
      </c>
      <c r="K55" s="219"/>
      <c r="L55" s="219">
        <v>22650.351999999999</v>
      </c>
      <c r="M55" s="219">
        <v>97224.21</v>
      </c>
      <c r="N55" s="219">
        <f>D55+G55+J55+L55+M55</f>
        <v>119874.56200000001</v>
      </c>
      <c r="O55" s="31" t="s">
        <v>133</v>
      </c>
      <c r="P55" s="31"/>
      <c r="Q55" s="492"/>
      <c r="R55" s="494"/>
    </row>
    <row r="56" spans="1:18" s="272" customFormat="1" ht="40.5" customHeight="1">
      <c r="A56" s="241"/>
      <c r="B56" s="10" t="s">
        <v>20</v>
      </c>
      <c r="C56" s="37" t="e">
        <f>C17+#REF!+C47+C50+C53+C54</f>
        <v>#REF!</v>
      </c>
      <c r="D56" s="206">
        <f>D17+D35+D47+D50+D53</f>
        <v>120970.09999999999</v>
      </c>
      <c r="E56" s="206" t="e">
        <f>E17+#REF!+E47+E50+E53</f>
        <v>#REF!</v>
      </c>
      <c r="F56" s="206" t="e">
        <f>F17+#REF!+F47+F50+F53</f>
        <v>#REF!</v>
      </c>
      <c r="G56" s="219">
        <v>62273.241000000002</v>
      </c>
      <c r="H56" s="206" t="e">
        <f>H17+#REF!+H47+H50+H53</f>
        <v>#REF!</v>
      </c>
      <c r="I56" s="206" t="e">
        <f>I17+#REF!+I47+I50+I53</f>
        <v>#REF!</v>
      </c>
      <c r="J56" s="219">
        <f>J17+J47+J50+J52</f>
        <v>48378.549999999996</v>
      </c>
      <c r="K56" s="219">
        <f>K17+K47+K50+K52</f>
        <v>5484</v>
      </c>
      <c r="L56" s="219">
        <f>L17+L47+L50+L54</f>
        <v>43251.5</v>
      </c>
      <c r="M56" s="219">
        <f>M17+M47+M50+M54</f>
        <v>43316.5</v>
      </c>
      <c r="N56" s="219">
        <f>D56+G56+J56+L56+M56</f>
        <v>318189.89099999995</v>
      </c>
      <c r="O56" s="241"/>
      <c r="P56" s="271"/>
      <c r="Q56" s="271"/>
      <c r="R56" s="45"/>
    </row>
    <row r="57" spans="1:18" s="272" customFormat="1" ht="53.25" customHeight="1">
      <c r="A57" s="273"/>
      <c r="B57" s="31" t="s">
        <v>21</v>
      </c>
      <c r="C57" s="37" t="e">
        <f>C18+C51+#REF!</f>
        <v>#REF!</v>
      </c>
      <c r="D57" s="206">
        <f>D18+D51+D36</f>
        <v>43810.9</v>
      </c>
      <c r="E57" s="206" t="e">
        <f>E18+E51+#REF!</f>
        <v>#REF!</v>
      </c>
      <c r="F57" s="206" t="e">
        <f>F18+F51+#REF!</f>
        <v>#REF!</v>
      </c>
      <c r="G57" s="219">
        <v>3584.7</v>
      </c>
      <c r="H57" s="206" t="e">
        <f>H18+H51+#REF!</f>
        <v>#REF!</v>
      </c>
      <c r="I57" s="206" t="e">
        <f>I18+I51+#REF!</f>
        <v>#REF!</v>
      </c>
      <c r="J57" s="219">
        <f>J18</f>
        <v>3426.4532799999997</v>
      </c>
      <c r="K57" s="219">
        <f>K18</f>
        <v>841.95327999999995</v>
      </c>
      <c r="L57" s="219">
        <f>L18+L55</f>
        <v>25315.3295</v>
      </c>
      <c r="M57" s="219">
        <f>M18+M55</f>
        <v>99889.1875</v>
      </c>
      <c r="N57" s="219">
        <f t="shared" ref="N57:N59" si="15">D57+G57+J57+L57+M57</f>
        <v>176026.57027999999</v>
      </c>
      <c r="O57" s="241"/>
      <c r="P57" s="271"/>
      <c r="Q57" s="271"/>
      <c r="R57" s="274"/>
    </row>
    <row r="58" spans="1:18" s="272" customFormat="1" ht="45" customHeight="1">
      <c r="A58" s="241"/>
      <c r="B58" s="31" t="s">
        <v>9</v>
      </c>
      <c r="C58" s="37" t="e">
        <f>#REF!</f>
        <v>#REF!</v>
      </c>
      <c r="D58" s="206">
        <f>D37</f>
        <v>6692.4</v>
      </c>
      <c r="E58" s="206" t="e">
        <f>#REF!</f>
        <v>#REF!</v>
      </c>
      <c r="F58" s="206" t="e">
        <f>#REF!</f>
        <v>#REF!</v>
      </c>
      <c r="G58" s="219">
        <v>2257.1999999999998</v>
      </c>
      <c r="H58" s="206" t="e">
        <f>#REF!</f>
        <v>#REF!</v>
      </c>
      <c r="I58" s="206" t="e">
        <f>#REF!</f>
        <v>#REF!</v>
      </c>
      <c r="J58" s="219">
        <f>J19</f>
        <v>2699.7777799999999</v>
      </c>
      <c r="K58" s="219">
        <f>K19</f>
        <v>0</v>
      </c>
      <c r="L58" s="219">
        <f>L19</f>
        <v>0</v>
      </c>
      <c r="M58" s="219">
        <f>M19</f>
        <v>0</v>
      </c>
      <c r="N58" s="219">
        <f t="shared" si="15"/>
        <v>11649.377779999999</v>
      </c>
      <c r="O58" s="241"/>
      <c r="P58" s="271"/>
      <c r="Q58" s="271"/>
      <c r="R58" s="241"/>
    </row>
    <row r="59" spans="1:18" s="272" customFormat="1" ht="53.25" customHeight="1">
      <c r="A59" s="241"/>
      <c r="B59" s="10" t="s">
        <v>22</v>
      </c>
      <c r="C59" s="37" t="e">
        <f>C56+C57+C58</f>
        <v>#REF!</v>
      </c>
      <c r="D59" s="206">
        <f t="shared" ref="D59:H59" si="16">D56+D57+D58</f>
        <v>171473.4</v>
      </c>
      <c r="E59" s="206" t="e">
        <f t="shared" si="16"/>
        <v>#REF!</v>
      </c>
      <c r="F59" s="206" t="e">
        <f t="shared" si="16"/>
        <v>#REF!</v>
      </c>
      <c r="G59" s="219">
        <f>G56+G57+G58</f>
        <v>68115.141000000003</v>
      </c>
      <c r="H59" s="206" t="e">
        <f t="shared" si="16"/>
        <v>#REF!</v>
      </c>
      <c r="I59" s="206" t="e">
        <f>I56+I57+I58</f>
        <v>#REF!</v>
      </c>
      <c r="J59" s="219">
        <f>J56+J57+J58</f>
        <v>54504.781059999994</v>
      </c>
      <c r="K59" s="219">
        <f t="shared" ref="K59:M59" si="17">K56+K57+K58</f>
        <v>6325.9532799999997</v>
      </c>
      <c r="L59" s="219">
        <f t="shared" si="17"/>
        <v>68566.829499999993</v>
      </c>
      <c r="M59" s="219">
        <f t="shared" si="17"/>
        <v>143205.6875</v>
      </c>
      <c r="N59" s="219">
        <f t="shared" si="15"/>
        <v>505865.83905999997</v>
      </c>
      <c r="O59" s="239"/>
      <c r="P59" s="274"/>
      <c r="Q59" s="274"/>
      <c r="R59" s="275"/>
    </row>
    <row r="60" spans="1:18" s="272" customFormat="1" ht="51.75" hidden="1" customHeight="1">
      <c r="A60" s="241"/>
      <c r="B60" s="10" t="s">
        <v>205</v>
      </c>
      <c r="C60" s="37"/>
      <c r="D60" s="206">
        <v>171473.4</v>
      </c>
      <c r="E60" s="206"/>
      <c r="F60" s="206"/>
      <c r="G60" s="206">
        <v>89438.2</v>
      </c>
      <c r="H60" s="206"/>
      <c r="I60" s="206"/>
      <c r="J60" s="206">
        <v>54504.781060000001</v>
      </c>
      <c r="K60" s="206"/>
      <c r="L60" s="206">
        <v>69781.469500000007</v>
      </c>
      <c r="M60" s="206">
        <v>143202.70749999999</v>
      </c>
      <c r="N60" s="206"/>
      <c r="O60" s="239"/>
      <c r="P60" s="274"/>
      <c r="Q60" s="274"/>
      <c r="R60" s="275"/>
    </row>
    <row r="61" spans="1:18" s="272" customFormat="1" ht="51.75" hidden="1" customHeight="1">
      <c r="A61" s="241"/>
      <c r="B61" s="10" t="s">
        <v>132</v>
      </c>
      <c r="C61" s="37"/>
      <c r="D61" s="206">
        <f>D60-D59</f>
        <v>0</v>
      </c>
      <c r="E61" s="206"/>
      <c r="F61" s="206"/>
      <c r="G61" s="206">
        <f>G60-G59</f>
        <v>21323.058999999994</v>
      </c>
      <c r="H61" s="206"/>
      <c r="I61" s="206"/>
      <c r="J61" s="206">
        <f t="shared" ref="J61" si="18">J60-J59</f>
        <v>0</v>
      </c>
      <c r="K61" s="206"/>
      <c r="L61" s="206">
        <f>L60-L59</f>
        <v>1214.640000000014</v>
      </c>
      <c r="M61" s="206">
        <f>M60-M59</f>
        <v>-2.9800000000104774</v>
      </c>
      <c r="N61" s="206"/>
      <c r="O61" s="239"/>
      <c r="P61" s="274"/>
      <c r="Q61" s="274"/>
      <c r="R61" s="275"/>
    </row>
    <row r="62" spans="1:18" s="259" customFormat="1" ht="58.5" customHeight="1">
      <c r="A62" s="496" t="s">
        <v>23</v>
      </c>
      <c r="B62" s="496"/>
      <c r="C62" s="496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6"/>
      <c r="P62" s="496"/>
      <c r="Q62" s="496"/>
      <c r="R62" s="496"/>
    </row>
    <row r="63" spans="1:18" s="276" customFormat="1" ht="70.5" customHeight="1">
      <c r="A63" s="493" t="s">
        <v>56</v>
      </c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3"/>
      <c r="M63" s="493"/>
      <c r="N63" s="493"/>
      <c r="O63" s="493"/>
      <c r="P63" s="493"/>
      <c r="Q63" s="493"/>
      <c r="R63" s="494" t="s">
        <v>122</v>
      </c>
    </row>
    <row r="64" spans="1:18" s="276" customFormat="1" ht="47.25" customHeight="1">
      <c r="A64" s="495" t="s">
        <v>50</v>
      </c>
      <c r="B64" s="495"/>
      <c r="C64" s="495"/>
      <c r="D64" s="495"/>
      <c r="E64" s="495"/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5"/>
      <c r="R64" s="494"/>
    </row>
    <row r="65" spans="1:18" ht="102.75" customHeight="1">
      <c r="A65" s="10">
        <v>6</v>
      </c>
      <c r="B65" s="31" t="s">
        <v>34</v>
      </c>
      <c r="C65" s="46">
        <f>C66+C67+C68+C69+C70+C71+C72+C73+C74+C75+C76+C77+C78+C79+C80+C81+C82+C83+C84</f>
        <v>392936.81</v>
      </c>
      <c r="D65" s="206">
        <f>D66+D67+D68+D69+D70+D71+D72+D73+D74+D75+D76+D77+D78+D79+D80+D81+D82+D83+D84</f>
        <v>431644.31</v>
      </c>
      <c r="E65" s="206">
        <f>D65-C65</f>
        <v>38707.5</v>
      </c>
      <c r="F65" s="206">
        <f>F91</f>
        <v>225157.4</v>
      </c>
      <c r="G65" s="219">
        <f>G66+G67+G68+G69+G70+G71+G72+G73+G74+G75+G76+G77+G78+G79+G80+G82+G83+G81+G84+G85+G86+G87+G88</f>
        <v>597252.60576000006</v>
      </c>
      <c r="H65" s="206">
        <f>H91</f>
        <v>477459.15575999999</v>
      </c>
      <c r="I65" s="206">
        <f>I91</f>
        <v>225157.4</v>
      </c>
      <c r="J65" s="219">
        <f>J66+J67+J68+J69+J70+J71+J72+J73+J74+J75+J76+J77+J78+J79+J80+J81+J82+J83+J84+J85+J86+J87+J88</f>
        <v>355379.01821000001</v>
      </c>
      <c r="K65" s="219">
        <f t="shared" ref="K65:M65" si="19">K66+K67+K68+K69+K70+K71+K72+K73+K74+K75+K76+K77+K78+K79+K80+K81+K82+K83+K84+K85+K86+K87+K88</f>
        <v>129261.99821000006</v>
      </c>
      <c r="L65" s="219">
        <f t="shared" si="19"/>
        <v>301362.49999999994</v>
      </c>
      <c r="M65" s="219">
        <f t="shared" si="19"/>
        <v>301362.49999999994</v>
      </c>
      <c r="N65" s="219">
        <f>D65+G65+J65+L65+M65</f>
        <v>1987000.9339700001</v>
      </c>
      <c r="O65" s="31"/>
      <c r="P65" s="31"/>
      <c r="Q65" s="31" t="s">
        <v>159</v>
      </c>
      <c r="R65" s="494"/>
    </row>
    <row r="66" spans="1:18" ht="85.5" customHeight="1">
      <c r="A66" s="265" t="s">
        <v>145</v>
      </c>
      <c r="B66" s="31" t="s">
        <v>168</v>
      </c>
      <c r="C66" s="46">
        <f>280315.1-C69</f>
        <v>265773.09999999998</v>
      </c>
      <c r="D66" s="206">
        <f>431644.31-149979.36</f>
        <v>281664.95</v>
      </c>
      <c r="E66" s="206">
        <f>D66-C66</f>
        <v>15891.850000000035</v>
      </c>
      <c r="F66" s="206">
        <f>207874.7-F69</f>
        <v>195457</v>
      </c>
      <c r="G66" s="219">
        <v>288637.95</v>
      </c>
      <c r="H66" s="206">
        <f>207874.7-H69</f>
        <v>198544.90000000002</v>
      </c>
      <c r="I66" s="206">
        <f>207874.7-I69</f>
        <v>195457</v>
      </c>
      <c r="J66" s="219">
        <f>274810.28+135.732</f>
        <v>274946.01200000005</v>
      </c>
      <c r="K66" s="219">
        <f t="shared" ref="K66:K82" si="20">J66-I66</f>
        <v>79489.012000000046</v>
      </c>
      <c r="L66" s="219">
        <v>266364.5</v>
      </c>
      <c r="M66" s="219">
        <v>266364.5</v>
      </c>
      <c r="N66" s="219">
        <f t="shared" ref="N66:N98" si="21">D66+G66+J66+L66+M66</f>
        <v>1377977.912</v>
      </c>
      <c r="O66" s="31" t="s">
        <v>12</v>
      </c>
      <c r="P66" s="31" t="s">
        <v>129</v>
      </c>
      <c r="Q66" s="31"/>
      <c r="R66" s="494"/>
    </row>
    <row r="67" spans="1:18" ht="69" customHeight="1">
      <c r="A67" s="265" t="s">
        <v>146</v>
      </c>
      <c r="B67" s="31" t="s">
        <v>35</v>
      </c>
      <c r="C67" s="46">
        <v>87783.58</v>
      </c>
      <c r="D67" s="206">
        <v>107807.03</v>
      </c>
      <c r="E67" s="206">
        <f t="shared" ref="E67:E91" si="22">D67-C67</f>
        <v>20023.449999999997</v>
      </c>
      <c r="F67" s="206">
        <v>4172.5</v>
      </c>
      <c r="G67" s="219">
        <v>167317.48965999999</v>
      </c>
      <c r="H67" s="206">
        <f>G67-F67</f>
        <v>163144.98965999999</v>
      </c>
      <c r="I67" s="206">
        <v>4172.5</v>
      </c>
      <c r="J67" s="219">
        <v>32270.560310000001</v>
      </c>
      <c r="K67" s="219">
        <f t="shared" si="20"/>
        <v>28098.060310000001</v>
      </c>
      <c r="L67" s="219">
        <v>0</v>
      </c>
      <c r="M67" s="219">
        <v>0</v>
      </c>
      <c r="N67" s="219">
        <f t="shared" si="21"/>
        <v>307395.07996999996</v>
      </c>
      <c r="O67" s="31" t="s">
        <v>12</v>
      </c>
      <c r="P67" s="31" t="s">
        <v>138</v>
      </c>
      <c r="Q67" s="31"/>
      <c r="R67" s="494"/>
    </row>
    <row r="68" spans="1:18" ht="142.5" customHeight="1">
      <c r="A68" s="265" t="s">
        <v>147</v>
      </c>
      <c r="B68" s="31" t="s">
        <v>169</v>
      </c>
      <c r="C68" s="46">
        <v>3000</v>
      </c>
      <c r="D68" s="206">
        <v>3000</v>
      </c>
      <c r="E68" s="206">
        <f t="shared" si="22"/>
        <v>0</v>
      </c>
      <c r="F68" s="206">
        <v>4500</v>
      </c>
      <c r="G68" s="219">
        <v>3600</v>
      </c>
      <c r="H68" s="206">
        <f t="shared" ref="H68:H71" si="23">G68-F68</f>
        <v>-900</v>
      </c>
      <c r="I68" s="206">
        <v>4500</v>
      </c>
      <c r="J68" s="219">
        <v>0</v>
      </c>
      <c r="K68" s="219">
        <f>J68-I68</f>
        <v>-4500</v>
      </c>
      <c r="L68" s="219">
        <v>0</v>
      </c>
      <c r="M68" s="219">
        <v>0</v>
      </c>
      <c r="N68" s="219">
        <f t="shared" si="21"/>
        <v>6600</v>
      </c>
      <c r="O68" s="31" t="s">
        <v>12</v>
      </c>
      <c r="P68" s="31"/>
      <c r="Q68" s="31"/>
      <c r="R68" s="494"/>
    </row>
    <row r="69" spans="1:18" ht="55.5" customHeight="1">
      <c r="A69" s="265" t="s">
        <v>148</v>
      </c>
      <c r="B69" s="31" t="s">
        <v>170</v>
      </c>
      <c r="C69" s="28">
        <v>14542</v>
      </c>
      <c r="D69" s="206">
        <v>15347.3</v>
      </c>
      <c r="E69" s="206">
        <f t="shared" si="22"/>
        <v>805.29999999999927</v>
      </c>
      <c r="F69" s="206">
        <v>12417.7</v>
      </c>
      <c r="G69" s="219">
        <v>21747.5</v>
      </c>
      <c r="H69" s="206">
        <f t="shared" si="23"/>
        <v>9329.7999999999993</v>
      </c>
      <c r="I69" s="206">
        <v>12417.7</v>
      </c>
      <c r="J69" s="219">
        <v>24787.01</v>
      </c>
      <c r="K69" s="219">
        <f>J69-I69</f>
        <v>12369.309999999998</v>
      </c>
      <c r="L69" s="219">
        <v>21747.5</v>
      </c>
      <c r="M69" s="219">
        <v>21747.5</v>
      </c>
      <c r="N69" s="219">
        <f t="shared" si="21"/>
        <v>105376.81</v>
      </c>
      <c r="O69" s="31" t="s">
        <v>12</v>
      </c>
      <c r="P69" s="31" t="s">
        <v>139</v>
      </c>
      <c r="Q69" s="31"/>
      <c r="R69" s="494"/>
    </row>
    <row r="70" spans="1:18" ht="105.75" customHeight="1">
      <c r="A70" s="265" t="s">
        <v>149</v>
      </c>
      <c r="B70" s="31" t="s">
        <v>171</v>
      </c>
      <c r="C70" s="46">
        <v>13204.93</v>
      </c>
      <c r="D70" s="206">
        <v>14801.83</v>
      </c>
      <c r="E70" s="206">
        <f t="shared" si="22"/>
        <v>1596.8999999999996</v>
      </c>
      <c r="F70" s="206">
        <f>'не актуально .'!F75</f>
        <v>0</v>
      </c>
      <c r="G70" s="219">
        <v>102885.9071</v>
      </c>
      <c r="H70" s="206">
        <f t="shared" si="23"/>
        <v>102885.9071</v>
      </c>
      <c r="I70" s="206">
        <f>'не актуально .'!I75</f>
        <v>0</v>
      </c>
      <c r="J70" s="219">
        <v>8636.3459000000003</v>
      </c>
      <c r="K70" s="219">
        <f t="shared" si="20"/>
        <v>8636.3459000000003</v>
      </c>
      <c r="L70" s="219">
        <v>0</v>
      </c>
      <c r="M70" s="219"/>
      <c r="N70" s="219">
        <f t="shared" si="21"/>
        <v>126324.083</v>
      </c>
      <c r="O70" s="31" t="s">
        <v>12</v>
      </c>
      <c r="P70" s="31" t="s">
        <v>140</v>
      </c>
      <c r="Q70" s="31"/>
      <c r="R70" s="494"/>
    </row>
    <row r="71" spans="1:18" ht="36" customHeight="1">
      <c r="A71" s="486" t="s">
        <v>150</v>
      </c>
      <c r="B71" s="490" t="s">
        <v>183</v>
      </c>
      <c r="C71" s="46">
        <v>100</v>
      </c>
      <c r="D71" s="206">
        <v>100</v>
      </c>
      <c r="E71" s="206">
        <f t="shared" si="22"/>
        <v>0</v>
      </c>
      <c r="F71" s="206">
        <v>100</v>
      </c>
      <c r="G71" s="219">
        <v>1921.5</v>
      </c>
      <c r="H71" s="206">
        <f t="shared" si="23"/>
        <v>1821.5</v>
      </c>
      <c r="I71" s="206">
        <v>100</v>
      </c>
      <c r="J71" s="219">
        <v>2101.35</v>
      </c>
      <c r="K71" s="219">
        <f t="shared" si="20"/>
        <v>2001.35</v>
      </c>
      <c r="L71" s="219">
        <v>5</v>
      </c>
      <c r="M71" s="219">
        <v>5</v>
      </c>
      <c r="N71" s="219">
        <f t="shared" si="21"/>
        <v>4132.8500000000004</v>
      </c>
      <c r="O71" s="31" t="s">
        <v>12</v>
      </c>
      <c r="P71" s="31"/>
      <c r="Q71" s="31"/>
      <c r="R71" s="494"/>
    </row>
    <row r="72" spans="1:18" ht="59.25" customHeight="1">
      <c r="A72" s="487"/>
      <c r="B72" s="490"/>
      <c r="C72" s="46">
        <v>2355</v>
      </c>
      <c r="D72" s="206">
        <v>2745</v>
      </c>
      <c r="E72" s="206">
        <f t="shared" si="22"/>
        <v>390</v>
      </c>
      <c r="F72" s="206">
        <v>2355</v>
      </c>
      <c r="G72" s="219">
        <v>4689.8999999999996</v>
      </c>
      <c r="H72" s="206">
        <f>G72-F72</f>
        <v>2334.8999999999996</v>
      </c>
      <c r="I72" s="206">
        <v>2355</v>
      </c>
      <c r="J72" s="219">
        <v>4643.25</v>
      </c>
      <c r="K72" s="219">
        <f t="shared" si="20"/>
        <v>2288.25</v>
      </c>
      <c r="L72" s="219">
        <v>4643.25</v>
      </c>
      <c r="M72" s="219">
        <v>4643.25</v>
      </c>
      <c r="N72" s="219">
        <f t="shared" si="21"/>
        <v>21364.65</v>
      </c>
      <c r="O72" s="31" t="s">
        <v>8</v>
      </c>
      <c r="P72" s="31" t="s">
        <v>141</v>
      </c>
      <c r="Q72" s="31"/>
      <c r="R72" s="494"/>
    </row>
    <row r="73" spans="1:18" ht="37.5" customHeight="1">
      <c r="A73" s="486" t="s">
        <v>151</v>
      </c>
      <c r="B73" s="490" t="s">
        <v>172</v>
      </c>
      <c r="C73" s="46">
        <v>352.2</v>
      </c>
      <c r="D73" s="206">
        <v>352.2</v>
      </c>
      <c r="E73" s="206">
        <f t="shared" si="22"/>
        <v>0</v>
      </c>
      <c r="F73" s="206">
        <v>352.2</v>
      </c>
      <c r="G73" s="219">
        <v>352.2</v>
      </c>
      <c r="H73" s="206">
        <f t="shared" ref="H73:H88" si="24">G73-F73</f>
        <v>0</v>
      </c>
      <c r="I73" s="206">
        <v>352.2</v>
      </c>
      <c r="J73" s="219">
        <v>831.4</v>
      </c>
      <c r="K73" s="219">
        <f t="shared" si="20"/>
        <v>479.2</v>
      </c>
      <c r="L73" s="219">
        <f>J73</f>
        <v>831.4</v>
      </c>
      <c r="M73" s="219">
        <f>L73</f>
        <v>831.4</v>
      </c>
      <c r="N73" s="219">
        <f t="shared" si="21"/>
        <v>3198.6</v>
      </c>
      <c r="O73" s="31" t="s">
        <v>12</v>
      </c>
      <c r="P73" s="31"/>
      <c r="Q73" s="31"/>
      <c r="R73" s="494"/>
    </row>
    <row r="74" spans="1:18" ht="64.5" customHeight="1">
      <c r="A74" s="487"/>
      <c r="B74" s="490"/>
      <c r="C74" s="46">
        <v>1761</v>
      </c>
      <c r="D74" s="206">
        <v>1761</v>
      </c>
      <c r="E74" s="206">
        <f t="shared" si="22"/>
        <v>0</v>
      </c>
      <c r="F74" s="206">
        <v>1761</v>
      </c>
      <c r="G74" s="219">
        <v>1804</v>
      </c>
      <c r="H74" s="206">
        <f t="shared" si="24"/>
        <v>43</v>
      </c>
      <c r="I74" s="206">
        <v>1761</v>
      </c>
      <c r="J74" s="219">
        <v>2485.4499999999998</v>
      </c>
      <c r="K74" s="219">
        <f t="shared" si="20"/>
        <v>724.44999999999982</v>
      </c>
      <c r="L74" s="219">
        <v>2485.4499999999998</v>
      </c>
      <c r="M74" s="219">
        <v>2485.4499999999998</v>
      </c>
      <c r="N74" s="219">
        <f t="shared" si="21"/>
        <v>11021.349999999999</v>
      </c>
      <c r="O74" s="31" t="s">
        <v>8</v>
      </c>
      <c r="P74" s="31"/>
      <c r="Q74" s="31"/>
      <c r="R74" s="494"/>
    </row>
    <row r="75" spans="1:18" ht="47.25" customHeight="1">
      <c r="A75" s="486" t="s">
        <v>152</v>
      </c>
      <c r="B75" s="490" t="s">
        <v>158</v>
      </c>
      <c r="C75" s="46">
        <v>117.4</v>
      </c>
      <c r="D75" s="206">
        <v>117.4</v>
      </c>
      <c r="E75" s="206">
        <f t="shared" si="22"/>
        <v>0</v>
      </c>
      <c r="F75" s="206">
        <v>117.4</v>
      </c>
      <c r="G75" s="219">
        <v>117.4</v>
      </c>
      <c r="H75" s="206">
        <f t="shared" si="24"/>
        <v>0</v>
      </c>
      <c r="I75" s="206">
        <v>117.4</v>
      </c>
      <c r="J75" s="219">
        <v>69.150000000000006</v>
      </c>
      <c r="K75" s="219">
        <f t="shared" si="20"/>
        <v>-48.25</v>
      </c>
      <c r="L75" s="219">
        <v>69.150000000000006</v>
      </c>
      <c r="M75" s="219">
        <v>69.150000000000006</v>
      </c>
      <c r="N75" s="219">
        <f>D75+G75+J75+L75+M75</f>
        <v>442.25</v>
      </c>
      <c r="O75" s="31" t="s">
        <v>12</v>
      </c>
      <c r="P75" s="31"/>
      <c r="Q75" s="31"/>
      <c r="R75" s="494"/>
    </row>
    <row r="76" spans="1:18" ht="84.75" customHeight="1">
      <c r="A76" s="487"/>
      <c r="B76" s="491"/>
      <c r="C76" s="46">
        <v>528.29999999999995</v>
      </c>
      <c r="D76" s="206">
        <v>528.29999999999995</v>
      </c>
      <c r="E76" s="206">
        <f t="shared" si="22"/>
        <v>0</v>
      </c>
      <c r="F76" s="206">
        <v>528.29999999999995</v>
      </c>
      <c r="G76" s="219">
        <v>631.4</v>
      </c>
      <c r="H76" s="206">
        <f t="shared" si="24"/>
        <v>103.10000000000002</v>
      </c>
      <c r="I76" s="206">
        <v>528.29999999999995</v>
      </c>
      <c r="J76" s="219">
        <v>207.12</v>
      </c>
      <c r="K76" s="219">
        <f t="shared" si="20"/>
        <v>-321.17999999999995</v>
      </c>
      <c r="L76" s="219">
        <v>207.12</v>
      </c>
      <c r="M76" s="219">
        <v>207.12</v>
      </c>
      <c r="N76" s="219">
        <f t="shared" si="21"/>
        <v>1781.0599999999995</v>
      </c>
      <c r="O76" s="31" t="s">
        <v>8</v>
      </c>
      <c r="P76" s="31"/>
      <c r="Q76" s="31"/>
      <c r="R76" s="494"/>
    </row>
    <row r="77" spans="1:18" ht="47.25" customHeight="1">
      <c r="A77" s="486" t="s">
        <v>153</v>
      </c>
      <c r="B77" s="490" t="s">
        <v>167</v>
      </c>
      <c r="C77" s="46">
        <v>293.5</v>
      </c>
      <c r="D77" s="206">
        <v>293.5</v>
      </c>
      <c r="E77" s="206">
        <f t="shared" si="22"/>
        <v>0</v>
      </c>
      <c r="F77" s="206">
        <v>293.5</v>
      </c>
      <c r="G77" s="219">
        <v>293.5</v>
      </c>
      <c r="H77" s="206">
        <f t="shared" si="24"/>
        <v>0</v>
      </c>
      <c r="I77" s="206">
        <v>293.5</v>
      </c>
      <c r="J77" s="219">
        <v>276.55</v>
      </c>
      <c r="K77" s="219">
        <f t="shared" si="20"/>
        <v>-16.949999999999989</v>
      </c>
      <c r="L77" s="219">
        <v>276.55</v>
      </c>
      <c r="M77" s="219">
        <v>276.55</v>
      </c>
      <c r="N77" s="219">
        <f t="shared" si="21"/>
        <v>1416.6499999999999</v>
      </c>
      <c r="O77" s="31" t="s">
        <v>12</v>
      </c>
      <c r="P77" s="31"/>
      <c r="Q77" s="31"/>
      <c r="R77" s="494"/>
    </row>
    <row r="78" spans="1:18" ht="62.25" customHeight="1">
      <c r="A78" s="487"/>
      <c r="B78" s="491"/>
      <c r="C78" s="46">
        <v>880.5</v>
      </c>
      <c r="D78" s="206">
        <v>880.5</v>
      </c>
      <c r="E78" s="206">
        <f t="shared" si="22"/>
        <v>0</v>
      </c>
      <c r="F78" s="206">
        <v>880.5</v>
      </c>
      <c r="G78" s="219">
        <v>902</v>
      </c>
      <c r="H78" s="206">
        <f t="shared" si="24"/>
        <v>21.5</v>
      </c>
      <c r="I78" s="206">
        <v>880.5</v>
      </c>
      <c r="J78" s="219">
        <v>828.48</v>
      </c>
      <c r="K78" s="219">
        <f t="shared" si="20"/>
        <v>-52.019999999999982</v>
      </c>
      <c r="L78" s="219">
        <v>828.48</v>
      </c>
      <c r="M78" s="219">
        <v>828.48</v>
      </c>
      <c r="N78" s="219">
        <f t="shared" si="21"/>
        <v>4267.9400000000005</v>
      </c>
      <c r="O78" s="31" t="s">
        <v>8</v>
      </c>
      <c r="P78" s="31"/>
      <c r="Q78" s="31"/>
      <c r="R78" s="494"/>
    </row>
    <row r="79" spans="1:18" ht="47.25" customHeight="1">
      <c r="A79" s="486" t="s">
        <v>154</v>
      </c>
      <c r="B79" s="490" t="s">
        <v>173</v>
      </c>
      <c r="C79" s="46">
        <v>234.8</v>
      </c>
      <c r="D79" s="206">
        <v>234.8</v>
      </c>
      <c r="E79" s="206">
        <f t="shared" si="22"/>
        <v>0</v>
      </c>
      <c r="F79" s="206">
        <v>234.8</v>
      </c>
      <c r="G79" s="219">
        <v>234.8</v>
      </c>
      <c r="H79" s="206">
        <f t="shared" si="24"/>
        <v>0</v>
      </c>
      <c r="I79" s="206">
        <v>234.8</v>
      </c>
      <c r="J79" s="219">
        <v>414.55</v>
      </c>
      <c r="K79" s="219">
        <f t="shared" si="20"/>
        <v>179.75</v>
      </c>
      <c r="L79" s="219">
        <v>414.55</v>
      </c>
      <c r="M79" s="219">
        <v>414.55</v>
      </c>
      <c r="N79" s="219">
        <f t="shared" si="21"/>
        <v>1713.25</v>
      </c>
      <c r="O79" s="31" t="s">
        <v>12</v>
      </c>
      <c r="P79" s="31"/>
      <c r="Q79" s="31"/>
      <c r="R79" s="494"/>
    </row>
    <row r="80" spans="1:18" ht="86.25" customHeight="1">
      <c r="A80" s="487"/>
      <c r="B80" s="490"/>
      <c r="C80" s="46">
        <v>1584.9</v>
      </c>
      <c r="D80" s="206">
        <v>1584.9</v>
      </c>
      <c r="E80" s="206">
        <f t="shared" si="22"/>
        <v>0</v>
      </c>
      <c r="F80" s="206">
        <v>1584.9</v>
      </c>
      <c r="G80" s="219">
        <v>721.6</v>
      </c>
      <c r="H80" s="206">
        <f t="shared" si="24"/>
        <v>-863.30000000000007</v>
      </c>
      <c r="I80" s="206">
        <v>1584.9</v>
      </c>
      <c r="J80" s="219">
        <v>1242.73</v>
      </c>
      <c r="K80" s="219">
        <f t="shared" si="20"/>
        <v>-342.17000000000007</v>
      </c>
      <c r="L80" s="219">
        <v>1242.73</v>
      </c>
      <c r="M80" s="219">
        <v>1242.73</v>
      </c>
      <c r="N80" s="219">
        <f t="shared" si="21"/>
        <v>6034.6900000000005</v>
      </c>
      <c r="O80" s="31" t="s">
        <v>8</v>
      </c>
      <c r="P80" s="31"/>
      <c r="Q80" s="31"/>
      <c r="R80" s="494"/>
    </row>
    <row r="81" spans="1:18" ht="36" customHeight="1">
      <c r="A81" s="486" t="s">
        <v>155</v>
      </c>
      <c r="B81" s="490" t="s">
        <v>174</v>
      </c>
      <c r="C81" s="46">
        <v>10</v>
      </c>
      <c r="D81" s="206">
        <v>10</v>
      </c>
      <c r="E81" s="206">
        <f t="shared" si="22"/>
        <v>0</v>
      </c>
      <c r="F81" s="206">
        <v>10</v>
      </c>
      <c r="G81" s="219">
        <v>16.5</v>
      </c>
      <c r="H81" s="206">
        <f t="shared" si="24"/>
        <v>6.5</v>
      </c>
      <c r="I81" s="206">
        <v>10</v>
      </c>
      <c r="J81" s="219">
        <v>154.30000000000001</v>
      </c>
      <c r="K81" s="219">
        <f t="shared" si="20"/>
        <v>144.30000000000001</v>
      </c>
      <c r="L81" s="219">
        <v>304.3</v>
      </c>
      <c r="M81" s="219">
        <v>304.3</v>
      </c>
      <c r="N81" s="219">
        <f t="shared" si="21"/>
        <v>789.40000000000009</v>
      </c>
      <c r="O81" s="31" t="s">
        <v>12</v>
      </c>
      <c r="P81" s="31"/>
      <c r="Q81" s="31"/>
      <c r="R81" s="494"/>
    </row>
    <row r="82" spans="1:18" ht="43.5" customHeight="1">
      <c r="A82" s="487"/>
      <c r="B82" s="492"/>
      <c r="C82" s="46">
        <v>322.60000000000002</v>
      </c>
      <c r="D82" s="206">
        <v>322.60000000000002</v>
      </c>
      <c r="E82" s="206">
        <f t="shared" si="22"/>
        <v>0</v>
      </c>
      <c r="F82" s="206">
        <v>322.60000000000002</v>
      </c>
      <c r="G82" s="219">
        <v>912.8</v>
      </c>
      <c r="H82" s="206">
        <f t="shared" si="24"/>
        <v>590.19999999999993</v>
      </c>
      <c r="I82" s="206">
        <v>322.60000000000002</v>
      </c>
      <c r="J82" s="219">
        <v>455.04</v>
      </c>
      <c r="K82" s="219">
        <f t="shared" si="20"/>
        <v>132.44</v>
      </c>
      <c r="L82" s="219">
        <v>912.8</v>
      </c>
      <c r="M82" s="219">
        <v>912.8</v>
      </c>
      <c r="N82" s="219">
        <f t="shared" si="21"/>
        <v>3516.04</v>
      </c>
      <c r="O82" s="31" t="s">
        <v>62</v>
      </c>
      <c r="P82" s="31"/>
      <c r="Q82" s="31"/>
      <c r="R82" s="494"/>
    </row>
    <row r="83" spans="1:18" ht="47.25" customHeight="1">
      <c r="A83" s="486" t="s">
        <v>156</v>
      </c>
      <c r="B83" s="490" t="s">
        <v>175</v>
      </c>
      <c r="C83" s="46">
        <v>23</v>
      </c>
      <c r="D83" s="206">
        <v>23</v>
      </c>
      <c r="E83" s="206">
        <f t="shared" si="22"/>
        <v>0</v>
      </c>
      <c r="F83" s="206"/>
      <c r="G83" s="219">
        <v>4</v>
      </c>
      <c r="H83" s="206">
        <f t="shared" si="24"/>
        <v>4</v>
      </c>
      <c r="I83" s="206"/>
      <c r="J83" s="219">
        <v>0.1</v>
      </c>
      <c r="K83" s="219">
        <f>J83-I83</f>
        <v>0.1</v>
      </c>
      <c r="L83" s="219">
        <v>0.1</v>
      </c>
      <c r="M83" s="219">
        <v>0.1</v>
      </c>
      <c r="N83" s="219">
        <f t="shared" si="21"/>
        <v>27.300000000000004</v>
      </c>
      <c r="O83" s="31" t="s">
        <v>117</v>
      </c>
      <c r="P83" s="31"/>
      <c r="Q83" s="31"/>
      <c r="R83" s="494"/>
    </row>
    <row r="84" spans="1:18" ht="93.75" customHeight="1">
      <c r="A84" s="487"/>
      <c r="B84" s="492"/>
      <c r="C84" s="46">
        <v>70</v>
      </c>
      <c r="D84" s="206">
        <v>70</v>
      </c>
      <c r="E84" s="206">
        <f t="shared" si="22"/>
        <v>0</v>
      </c>
      <c r="F84" s="206">
        <v>70</v>
      </c>
      <c r="G84" s="219">
        <v>60</v>
      </c>
      <c r="H84" s="206">
        <f t="shared" si="24"/>
        <v>-10</v>
      </c>
      <c r="I84" s="206">
        <v>70</v>
      </c>
      <c r="J84" s="219">
        <v>70</v>
      </c>
      <c r="K84" s="219">
        <f t="shared" ref="K84:K86" si="25">J84-I84</f>
        <v>0</v>
      </c>
      <c r="L84" s="219">
        <v>70</v>
      </c>
      <c r="M84" s="219">
        <v>70</v>
      </c>
      <c r="N84" s="219">
        <f t="shared" si="21"/>
        <v>340</v>
      </c>
      <c r="O84" s="31" t="s">
        <v>62</v>
      </c>
      <c r="P84" s="31"/>
      <c r="Q84" s="31"/>
      <c r="R84" s="494"/>
    </row>
    <row r="85" spans="1:18" ht="48.75" customHeight="1">
      <c r="A85" s="486" t="s">
        <v>157</v>
      </c>
      <c r="B85" s="490" t="s">
        <v>176</v>
      </c>
      <c r="C85" s="46"/>
      <c r="D85" s="206">
        <v>0</v>
      </c>
      <c r="E85" s="206"/>
      <c r="F85" s="206"/>
      <c r="G85" s="219">
        <v>2.4</v>
      </c>
      <c r="H85" s="206">
        <f>G85-F85</f>
        <v>2.4</v>
      </c>
      <c r="I85" s="206"/>
      <c r="J85" s="219">
        <v>0</v>
      </c>
      <c r="K85" s="219">
        <f t="shared" si="25"/>
        <v>0</v>
      </c>
      <c r="L85" s="219">
        <f>J85</f>
        <v>0</v>
      </c>
      <c r="M85" s="219">
        <v>0</v>
      </c>
      <c r="N85" s="219">
        <f>D85+G85+J85+L85+M85</f>
        <v>2.4</v>
      </c>
      <c r="O85" s="31" t="s">
        <v>117</v>
      </c>
      <c r="P85" s="31"/>
      <c r="Q85" s="31"/>
      <c r="R85" s="494"/>
    </row>
    <row r="86" spans="1:18" ht="82.5" customHeight="1">
      <c r="A86" s="487"/>
      <c r="B86" s="492"/>
      <c r="C86" s="46"/>
      <c r="D86" s="206">
        <v>0</v>
      </c>
      <c r="E86" s="206"/>
      <c r="F86" s="206"/>
      <c r="G86" s="219">
        <v>240.6</v>
      </c>
      <c r="H86" s="206">
        <f t="shared" si="24"/>
        <v>240.6</v>
      </c>
      <c r="I86" s="206"/>
      <c r="J86" s="219">
        <v>0</v>
      </c>
      <c r="K86" s="219">
        <f t="shared" si="25"/>
        <v>0</v>
      </c>
      <c r="L86" s="219">
        <f>J86</f>
        <v>0</v>
      </c>
      <c r="M86" s="219">
        <v>0</v>
      </c>
      <c r="N86" s="219">
        <f t="shared" si="21"/>
        <v>240.6</v>
      </c>
      <c r="O86" s="31" t="s">
        <v>62</v>
      </c>
      <c r="P86" s="31"/>
      <c r="Q86" s="31"/>
      <c r="R86" s="494"/>
    </row>
    <row r="87" spans="1:18" ht="93" customHeight="1">
      <c r="A87" s="486" t="s">
        <v>194</v>
      </c>
      <c r="B87" s="488" t="s">
        <v>191</v>
      </c>
      <c r="C87" s="46"/>
      <c r="D87" s="206">
        <v>0</v>
      </c>
      <c r="E87" s="206"/>
      <c r="F87" s="206"/>
      <c r="G87" s="219">
        <v>0.159</v>
      </c>
      <c r="H87" s="206">
        <f t="shared" si="24"/>
        <v>0.159</v>
      </c>
      <c r="I87" s="206"/>
      <c r="J87" s="219">
        <v>245</v>
      </c>
      <c r="K87" s="219"/>
      <c r="L87" s="219">
        <v>245</v>
      </c>
      <c r="M87" s="219">
        <v>245</v>
      </c>
      <c r="N87" s="219">
        <f t="shared" si="21"/>
        <v>735.15899999999999</v>
      </c>
      <c r="O87" s="31" t="s">
        <v>117</v>
      </c>
      <c r="P87" s="31"/>
      <c r="Q87" s="31"/>
      <c r="R87" s="261"/>
    </row>
    <row r="88" spans="1:18" ht="121.5" customHeight="1">
      <c r="A88" s="487"/>
      <c r="B88" s="489"/>
      <c r="C88" s="46"/>
      <c r="D88" s="206">
        <v>0</v>
      </c>
      <c r="E88" s="206"/>
      <c r="F88" s="206"/>
      <c r="G88" s="219">
        <v>159</v>
      </c>
      <c r="H88" s="206">
        <f t="shared" si="24"/>
        <v>159</v>
      </c>
      <c r="I88" s="206"/>
      <c r="J88" s="219">
        <v>714.62</v>
      </c>
      <c r="K88" s="219"/>
      <c r="L88" s="219">
        <v>714.62</v>
      </c>
      <c r="M88" s="219">
        <f>L88</f>
        <v>714.62</v>
      </c>
      <c r="N88" s="219">
        <f t="shared" si="21"/>
        <v>2302.86</v>
      </c>
      <c r="O88" s="31" t="s">
        <v>62</v>
      </c>
      <c r="P88" s="31"/>
      <c r="Q88" s="31"/>
      <c r="R88" s="261"/>
    </row>
    <row r="89" spans="1:18" s="277" customFormat="1" ht="32.25" customHeight="1">
      <c r="A89" s="241"/>
      <c r="B89" s="10" t="s">
        <v>20</v>
      </c>
      <c r="C89" s="46">
        <f>C66+C67+C68+C69+C70+C71+C73+C75+C77+C79+C81+C83</f>
        <v>385434.51</v>
      </c>
      <c r="D89" s="206">
        <f>D66+D67+D68+D69+D70+D71+D73+D75+D77+D79+D81+D83</f>
        <v>423752.01</v>
      </c>
      <c r="E89" s="206">
        <f>D89-C89</f>
        <v>38317.5</v>
      </c>
      <c r="F89" s="206">
        <f>F66+F67+F68+F69+F70+F71+F73+F75+F77+F79+F81+F83</f>
        <v>217655.1</v>
      </c>
      <c r="G89" s="219">
        <f>G66+G67+G68+G69+G70+G71+G73+G75+G77+G79+G81+G83+G85+G87</f>
        <v>587131.30576000002</v>
      </c>
      <c r="H89" s="219">
        <f t="shared" ref="H89:I89" si="26">H66+H67+H68+H69+H70+H71+H73+H75+H77+H79+H81+H83+H85+H87</f>
        <v>474840.15575999999</v>
      </c>
      <c r="I89" s="219">
        <f t="shared" si="26"/>
        <v>217655.1</v>
      </c>
      <c r="J89" s="219">
        <f>J66+J67+J68+J69+J70+J71+J73+J75+J77+J79+J81+J83+J85+J87</f>
        <v>344732.32821000007</v>
      </c>
      <c r="K89" s="219">
        <f t="shared" ref="K89:M89" si="27">K66+K67+K68+K69+K70+K71+K73+K75+K77+K79+K81+K83+K85+K87</f>
        <v>126832.22821000006</v>
      </c>
      <c r="L89" s="219">
        <f t="shared" si="27"/>
        <v>290258.05</v>
      </c>
      <c r="M89" s="219">
        <f t="shared" si="27"/>
        <v>290258.05</v>
      </c>
      <c r="N89" s="219">
        <f t="shared" si="21"/>
        <v>1936131.7439700002</v>
      </c>
      <c r="O89" s="241"/>
      <c r="P89" s="271"/>
      <c r="Q89" s="271"/>
      <c r="R89" s="271"/>
    </row>
    <row r="90" spans="1:18" s="277" customFormat="1" ht="35.25" customHeight="1">
      <c r="A90" s="241"/>
      <c r="B90" s="31" t="s">
        <v>21</v>
      </c>
      <c r="C90" s="46">
        <f>C72+C74+C76+C78+C80+C82+C84</f>
        <v>7502.3000000000011</v>
      </c>
      <c r="D90" s="206">
        <f>D72+D74+D76+D78+D80+D82+D84</f>
        <v>7892.3000000000011</v>
      </c>
      <c r="E90" s="206">
        <f t="shared" si="22"/>
        <v>390</v>
      </c>
      <c r="F90" s="206">
        <f>F72+F74+F76+F78+F80+F82+F84</f>
        <v>7502.3000000000011</v>
      </c>
      <c r="G90" s="219">
        <f t="shared" ref="G90:I90" si="28">G72+G74+G76+G78+G80+G82+G84+G86+G88</f>
        <v>10121.299999999999</v>
      </c>
      <c r="H90" s="219">
        <f t="shared" si="28"/>
        <v>2618.9999999999991</v>
      </c>
      <c r="I90" s="219">
        <f t="shared" si="28"/>
        <v>7502.3000000000011</v>
      </c>
      <c r="J90" s="219">
        <f>J72+J74+J76+J78+J80+J82+J84+J86+J88</f>
        <v>10646.69</v>
      </c>
      <c r="K90" s="219">
        <f t="shared" ref="K90" si="29">K72+K74+K76+K78+K80+K82+K84+K86+K88</f>
        <v>2429.77</v>
      </c>
      <c r="L90" s="219">
        <f>L72+L74+L76+L78+L80+L82+L84+L86+L88</f>
        <v>11104.449999999999</v>
      </c>
      <c r="M90" s="219">
        <f>M72+M74+M76+M78+M80+M82+M84+M86+M88</f>
        <v>11104.449999999999</v>
      </c>
      <c r="N90" s="219">
        <f t="shared" si="21"/>
        <v>50869.189999999995</v>
      </c>
      <c r="O90" s="241"/>
      <c r="P90" s="271"/>
      <c r="Q90" s="274"/>
      <c r="R90" s="271"/>
    </row>
    <row r="91" spans="1:18" s="277" customFormat="1" ht="37.5" customHeight="1">
      <c r="A91" s="241"/>
      <c r="B91" s="10" t="s">
        <v>22</v>
      </c>
      <c r="C91" s="46">
        <f>C89+C90</f>
        <v>392936.81</v>
      </c>
      <c r="D91" s="206">
        <f>D89+D90</f>
        <v>431644.31</v>
      </c>
      <c r="E91" s="206">
        <f t="shared" si="22"/>
        <v>38707.5</v>
      </c>
      <c r="F91" s="206">
        <f>F89+F90</f>
        <v>225157.4</v>
      </c>
      <c r="G91" s="219">
        <f>G89+G90</f>
        <v>597252.60576000006</v>
      </c>
      <c r="H91" s="219">
        <f t="shared" ref="H91:I91" si="30">H89+H90</f>
        <v>477459.15575999999</v>
      </c>
      <c r="I91" s="219">
        <f t="shared" si="30"/>
        <v>225157.4</v>
      </c>
      <c r="J91" s="219">
        <f>J89+J90</f>
        <v>355379.01821000007</v>
      </c>
      <c r="K91" s="219"/>
      <c r="L91" s="219">
        <f>L89+L90</f>
        <v>301362.5</v>
      </c>
      <c r="M91" s="219">
        <f>M89+M90</f>
        <v>301362.5</v>
      </c>
      <c r="N91" s="219">
        <f t="shared" si="21"/>
        <v>1987000.9339700001</v>
      </c>
      <c r="O91" s="241"/>
      <c r="P91" s="271"/>
      <c r="Q91" s="271"/>
      <c r="R91" s="271"/>
    </row>
    <row r="92" spans="1:18" s="277" customFormat="1" ht="26.25" hidden="1">
      <c r="A92" s="241"/>
      <c r="B92" s="10" t="s">
        <v>132</v>
      </c>
      <c r="C92" s="46"/>
      <c r="D92" s="206">
        <v>431644.31</v>
      </c>
      <c r="E92" s="206"/>
      <c r="F92" s="206"/>
      <c r="G92" s="219"/>
      <c r="H92" s="206"/>
      <c r="I92" s="206"/>
      <c r="J92" s="239">
        <v>355379.01821000001</v>
      </c>
      <c r="K92" s="239"/>
      <c r="L92" s="239">
        <v>301362.5</v>
      </c>
      <c r="M92" s="239">
        <v>301362.5</v>
      </c>
      <c r="N92" s="219"/>
      <c r="O92" s="241"/>
      <c r="P92" s="271"/>
      <c r="Q92" s="271"/>
      <c r="R92" s="271"/>
    </row>
    <row r="93" spans="1:18" s="277" customFormat="1" ht="26.25" hidden="1">
      <c r="A93" s="241"/>
      <c r="B93" s="10" t="s">
        <v>132</v>
      </c>
      <c r="C93" s="46"/>
      <c r="D93" s="240">
        <f>D92-D91</f>
        <v>0</v>
      </c>
      <c r="E93" s="240"/>
      <c r="F93" s="240"/>
      <c r="G93" s="219"/>
      <c r="H93" s="240">
        <f t="shared" ref="H93:K93" si="31">H92-H91</f>
        <v>-477459.15575999999</v>
      </c>
      <c r="I93" s="240">
        <f t="shared" si="31"/>
        <v>-225157.4</v>
      </c>
      <c r="J93" s="239">
        <f>J92-J91</f>
        <v>0</v>
      </c>
      <c r="K93" s="239">
        <f t="shared" si="31"/>
        <v>0</v>
      </c>
      <c r="L93" s="239">
        <f>L92-L91</f>
        <v>0</v>
      </c>
      <c r="M93" s="239">
        <f>M92-M91</f>
        <v>0</v>
      </c>
      <c r="N93" s="219"/>
      <c r="O93" s="241"/>
      <c r="P93" s="271"/>
      <c r="Q93" s="271"/>
      <c r="R93" s="271"/>
    </row>
    <row r="94" spans="1:18" s="277" customFormat="1" ht="222.75" customHeight="1">
      <c r="A94" s="241"/>
      <c r="B94" s="10"/>
      <c r="C94" s="46"/>
      <c r="D94" s="240"/>
      <c r="E94" s="240"/>
      <c r="F94" s="240"/>
      <c r="G94" s="219"/>
      <c r="H94" s="240"/>
      <c r="I94" s="240"/>
      <c r="J94" s="239"/>
      <c r="K94" s="239"/>
      <c r="L94" s="239"/>
      <c r="M94" s="239"/>
      <c r="N94" s="219"/>
      <c r="O94" s="241"/>
      <c r="P94" s="271"/>
      <c r="Q94" s="271"/>
      <c r="R94" s="271"/>
    </row>
    <row r="95" spans="1:18" s="277" customFormat="1" ht="53.25" customHeight="1">
      <c r="A95" s="241"/>
      <c r="B95" s="10" t="s">
        <v>24</v>
      </c>
      <c r="C95" s="37" t="e">
        <f>C96+C97+C98</f>
        <v>#REF!</v>
      </c>
      <c r="D95" s="206">
        <f>D96+D97+D98</f>
        <v>603117.71</v>
      </c>
      <c r="E95" s="206" t="e">
        <f>E96+E97+E98</f>
        <v>#REF!</v>
      </c>
      <c r="F95" s="206" t="e">
        <f>F96+F97+F98</f>
        <v>#REF!</v>
      </c>
      <c r="G95" s="219">
        <f>G96+G97+G98</f>
        <v>665367.74676000001</v>
      </c>
      <c r="H95" s="219" t="e">
        <f t="shared" ref="H95:I95" si="32">H96+H97+H98</f>
        <v>#REF!</v>
      </c>
      <c r="I95" s="219" t="e">
        <f t="shared" si="32"/>
        <v>#REF!</v>
      </c>
      <c r="J95" s="219">
        <f>J96+J97+J98</f>
        <v>409883.79927000008</v>
      </c>
      <c r="K95" s="219">
        <f t="shared" ref="K95:L95" si="33">K96+K97+K98</f>
        <v>135587.95149000006</v>
      </c>
      <c r="L95" s="219">
        <f t="shared" si="33"/>
        <v>369929.32949999999</v>
      </c>
      <c r="M95" s="219">
        <f>M96+M97+M98</f>
        <v>444568.1875</v>
      </c>
      <c r="N95" s="219">
        <f>D95+G95+J95+L95+M95</f>
        <v>2492866.7730299998</v>
      </c>
      <c r="O95" s="242"/>
      <c r="P95" s="243"/>
      <c r="Q95" s="243"/>
      <c r="R95" s="271"/>
    </row>
    <row r="96" spans="1:18" s="277" customFormat="1" ht="33.75" customHeight="1">
      <c r="A96" s="241"/>
      <c r="B96" s="31" t="s">
        <v>20</v>
      </c>
      <c r="C96" s="37" t="e">
        <f>C89+C56</f>
        <v>#REF!</v>
      </c>
      <c r="D96" s="206">
        <f>D89+D56</f>
        <v>544722.11</v>
      </c>
      <c r="E96" s="206" t="e">
        <f>E89+E56</f>
        <v>#REF!</v>
      </c>
      <c r="F96" s="206" t="e">
        <f>F89+F56</f>
        <v>#REF!</v>
      </c>
      <c r="G96" s="219">
        <f t="shared" ref="G96:I96" si="34">G89+G56</f>
        <v>649404.54676000006</v>
      </c>
      <c r="H96" s="219" t="e">
        <f t="shared" si="34"/>
        <v>#REF!</v>
      </c>
      <c r="I96" s="219" t="e">
        <f t="shared" si="34"/>
        <v>#REF!</v>
      </c>
      <c r="J96" s="219">
        <f>J89+J56</f>
        <v>393110.87821000005</v>
      </c>
      <c r="K96" s="219">
        <f t="shared" ref="K96:M96" si="35">K89+K56</f>
        <v>132316.22821000006</v>
      </c>
      <c r="L96" s="219">
        <f t="shared" si="35"/>
        <v>333509.55</v>
      </c>
      <c r="M96" s="219">
        <f t="shared" si="35"/>
        <v>333574.55</v>
      </c>
      <c r="N96" s="219">
        <f t="shared" si="21"/>
        <v>2254321.63497</v>
      </c>
      <c r="O96" s="241"/>
      <c r="P96" s="271"/>
      <c r="Q96" s="271"/>
      <c r="R96" s="271"/>
    </row>
    <row r="97" spans="1:18" s="277" customFormat="1" ht="34.5" customHeight="1">
      <c r="A97" s="241"/>
      <c r="B97" s="31" t="s">
        <v>21</v>
      </c>
      <c r="C97" s="37" t="e">
        <f>C57+C90</f>
        <v>#REF!</v>
      </c>
      <c r="D97" s="206">
        <f>D57+D90</f>
        <v>51703.200000000004</v>
      </c>
      <c r="E97" s="206" t="e">
        <f>E57+E90</f>
        <v>#REF!</v>
      </c>
      <c r="F97" s="206" t="e">
        <f>F57+F90</f>
        <v>#REF!</v>
      </c>
      <c r="G97" s="219">
        <f t="shared" ref="G97:I97" si="36">G57+G90</f>
        <v>13706</v>
      </c>
      <c r="H97" s="219" t="e">
        <f t="shared" si="36"/>
        <v>#REF!</v>
      </c>
      <c r="I97" s="219" t="e">
        <f t="shared" si="36"/>
        <v>#REF!</v>
      </c>
      <c r="J97" s="219">
        <f>J57+J90</f>
        <v>14073.14328</v>
      </c>
      <c r="K97" s="219">
        <f t="shared" ref="K97" si="37">K57+K90</f>
        <v>3271.7232800000002</v>
      </c>
      <c r="L97" s="219">
        <f>L57+L90</f>
        <v>36419.779499999997</v>
      </c>
      <c r="M97" s="219">
        <f>M57+M90</f>
        <v>110993.6375</v>
      </c>
      <c r="N97" s="219">
        <f t="shared" si="21"/>
        <v>226895.76027999999</v>
      </c>
      <c r="O97" s="241"/>
      <c r="P97" s="271"/>
      <c r="Q97" s="271"/>
      <c r="R97" s="278"/>
    </row>
    <row r="98" spans="1:18" s="277" customFormat="1" ht="32.25" customHeight="1">
      <c r="A98" s="241"/>
      <c r="B98" s="31" t="s">
        <v>25</v>
      </c>
      <c r="C98" s="37" t="e">
        <f>C58</f>
        <v>#REF!</v>
      </c>
      <c r="D98" s="206">
        <f>D58</f>
        <v>6692.4</v>
      </c>
      <c r="E98" s="206" t="e">
        <f>E58</f>
        <v>#REF!</v>
      </c>
      <c r="F98" s="206" t="e">
        <f>F58</f>
        <v>#REF!</v>
      </c>
      <c r="G98" s="219">
        <f t="shared" ref="G98:I98" si="38">G58</f>
        <v>2257.1999999999998</v>
      </c>
      <c r="H98" s="219" t="e">
        <f t="shared" si="38"/>
        <v>#REF!</v>
      </c>
      <c r="I98" s="219" t="e">
        <f t="shared" si="38"/>
        <v>#REF!</v>
      </c>
      <c r="J98" s="219">
        <f>J58</f>
        <v>2699.7777799999999</v>
      </c>
      <c r="K98" s="219">
        <f t="shared" ref="K98:M98" si="39">K58</f>
        <v>0</v>
      </c>
      <c r="L98" s="219">
        <f t="shared" si="39"/>
        <v>0</v>
      </c>
      <c r="M98" s="219">
        <f t="shared" si="39"/>
        <v>0</v>
      </c>
      <c r="N98" s="219">
        <f t="shared" si="21"/>
        <v>11649.377779999999</v>
      </c>
      <c r="O98" s="241"/>
      <c r="P98" s="271"/>
      <c r="Q98" s="271"/>
      <c r="R98" s="279"/>
    </row>
    <row r="99" spans="1:18" ht="33.75" hidden="1">
      <c r="C99" s="281"/>
      <c r="G99" s="246"/>
      <c r="J99" s="246">
        <v>409883.79927000002</v>
      </c>
      <c r="L99" s="246">
        <v>371143.96950000001</v>
      </c>
      <c r="M99" s="246">
        <v>444565.20750000002</v>
      </c>
    </row>
    <row r="100" spans="1:18" hidden="1">
      <c r="C100" s="38"/>
      <c r="G100" s="246"/>
      <c r="J100" s="246">
        <f>J99-J95</f>
        <v>0</v>
      </c>
      <c r="L100" s="246">
        <f>L99-L95</f>
        <v>1214.640000000014</v>
      </c>
      <c r="M100" s="246">
        <f>M99-M95</f>
        <v>-2.9799999999813735</v>
      </c>
    </row>
    <row r="101" spans="1:18" s="272" customFormat="1" ht="28.5">
      <c r="A101" s="283"/>
      <c r="B101" s="284"/>
      <c r="D101" s="285"/>
      <c r="E101" s="285"/>
      <c r="F101" s="285"/>
      <c r="G101" s="285"/>
      <c r="H101" s="285"/>
      <c r="I101" s="285"/>
      <c r="J101" s="285"/>
      <c r="K101" s="285"/>
      <c r="L101" s="285">
        <v>13769.427</v>
      </c>
      <c r="M101" s="285">
        <v>13769.427</v>
      </c>
      <c r="N101" s="285"/>
      <c r="O101" s="286"/>
    </row>
    <row r="102" spans="1:18" s="281" customFormat="1" ht="33.75">
      <c r="A102" s="287"/>
      <c r="B102" s="288"/>
      <c r="D102" s="289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90"/>
    </row>
    <row r="103" spans="1:18" s="281" customFormat="1" ht="33.75">
      <c r="A103" s="287"/>
      <c r="B103" s="288"/>
      <c r="D103" s="289"/>
      <c r="E103" s="289"/>
      <c r="F103" s="289"/>
      <c r="G103" s="289"/>
      <c r="H103" s="289"/>
      <c r="I103" s="289"/>
      <c r="J103" s="289"/>
      <c r="K103" s="289"/>
      <c r="L103" s="289">
        <f>L97-L101</f>
        <v>22650.352499999997</v>
      </c>
      <c r="M103" s="289">
        <f>M97-M101</f>
        <v>97224.210500000001</v>
      </c>
      <c r="N103" s="289"/>
      <c r="O103" s="290"/>
    </row>
    <row r="104" spans="1:18" s="281" customFormat="1" ht="33.75">
      <c r="A104" s="287"/>
      <c r="B104" s="288"/>
      <c r="D104" s="289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90"/>
    </row>
    <row r="105" spans="1:18" s="281" customFormat="1" ht="33.75">
      <c r="A105" s="287"/>
      <c r="B105" s="288"/>
      <c r="D105" s="289"/>
      <c r="E105" s="289"/>
      <c r="F105" s="289"/>
      <c r="G105" s="289"/>
      <c r="H105" s="289"/>
      <c r="I105" s="289"/>
      <c r="J105" s="289"/>
      <c r="K105" s="289"/>
      <c r="L105" s="289">
        <v>371143.96500000003</v>
      </c>
      <c r="M105" s="289">
        <v>444565.20750000002</v>
      </c>
      <c r="N105" s="289"/>
      <c r="O105" s="290"/>
    </row>
    <row r="106" spans="1:18" s="281" customFormat="1" ht="33.75">
      <c r="A106" s="287"/>
      <c r="B106" s="288"/>
      <c r="D106" s="289"/>
      <c r="E106" s="289"/>
      <c r="F106" s="289"/>
      <c r="G106" s="289"/>
      <c r="H106" s="289"/>
      <c r="I106" s="289"/>
      <c r="J106" s="289"/>
      <c r="K106" s="289"/>
      <c r="L106" s="289">
        <f>L95-L105</f>
        <v>-1214.6355000000331</v>
      </c>
      <c r="M106" s="289">
        <f>M95-M105</f>
        <v>2.9799999999813735</v>
      </c>
      <c r="N106" s="289"/>
      <c r="O106" s="290"/>
    </row>
    <row r="107" spans="1:18" s="281" customFormat="1" ht="33.75">
      <c r="A107" s="287"/>
      <c r="B107" s="288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90"/>
    </row>
  </sheetData>
  <mergeCells count="66">
    <mergeCell ref="A87:A88"/>
    <mergeCell ref="B87:B88"/>
    <mergeCell ref="B77:B78"/>
    <mergeCell ref="A79:A80"/>
    <mergeCell ref="B79:B80"/>
    <mergeCell ref="A81:A82"/>
    <mergeCell ref="B81:B82"/>
    <mergeCell ref="A83:A84"/>
    <mergeCell ref="B83:B84"/>
    <mergeCell ref="A63:Q63"/>
    <mergeCell ref="R63:R86"/>
    <mergeCell ref="A64:Q64"/>
    <mergeCell ref="A71:A72"/>
    <mergeCell ref="B71:B72"/>
    <mergeCell ref="A73:A74"/>
    <mergeCell ref="B73:B74"/>
    <mergeCell ref="A75:A76"/>
    <mergeCell ref="B75:B76"/>
    <mergeCell ref="A77:A78"/>
    <mergeCell ref="A85:A86"/>
    <mergeCell ref="B85:B86"/>
    <mergeCell ref="A62:R62"/>
    <mergeCell ref="A39:A41"/>
    <mergeCell ref="B39:B41"/>
    <mergeCell ref="A43:A45"/>
    <mergeCell ref="B43:B45"/>
    <mergeCell ref="A47:A48"/>
    <mergeCell ref="B47:B48"/>
    <mergeCell ref="A50:A51"/>
    <mergeCell ref="B50:B51"/>
    <mergeCell ref="A54:A55"/>
    <mergeCell ref="B54:B55"/>
    <mergeCell ref="Q54:Q55"/>
    <mergeCell ref="A14:R14"/>
    <mergeCell ref="A15:Q15"/>
    <mergeCell ref="R15:R55"/>
    <mergeCell ref="A16:Q16"/>
    <mergeCell ref="A17:A19"/>
    <mergeCell ref="B17:B19"/>
    <mergeCell ref="A35:A38"/>
    <mergeCell ref="B35:B37"/>
    <mergeCell ref="A24:A25"/>
    <mergeCell ref="B24:B25"/>
    <mergeCell ref="P24:P25"/>
    <mergeCell ref="A32:A34"/>
    <mergeCell ref="B32:B34"/>
    <mergeCell ref="O8:R8"/>
    <mergeCell ref="A10:R10"/>
    <mergeCell ref="A12:A13"/>
    <mergeCell ref="B12:B13"/>
    <mergeCell ref="D12:D13"/>
    <mergeCell ref="G12:G13"/>
    <mergeCell ref="J12:J13"/>
    <mergeCell ref="L12:L13"/>
    <mergeCell ref="M12:M13"/>
    <mergeCell ref="N12:N13"/>
    <mergeCell ref="R12:R13"/>
    <mergeCell ref="O12:O13"/>
    <mergeCell ref="P12:P13"/>
    <mergeCell ref="Q12:Q13"/>
    <mergeCell ref="O7:R7"/>
    <mergeCell ref="O1:R1"/>
    <mergeCell ref="O2:R2"/>
    <mergeCell ref="O3:R3"/>
    <mergeCell ref="O4:R4"/>
    <mergeCell ref="O5:R5"/>
  </mergeCells>
  <pageMargins left="0.31496062992125984" right="0.31496062992125984" top="0.19685039370078741" bottom="0.19685039370078741" header="0.11811023622047245" footer="0.15748031496062992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09"/>
  <sheetViews>
    <sheetView view="pageBreakPreview" zoomScale="39" zoomScaleNormal="60" zoomScaleSheetLayoutView="39" workbookViewId="0">
      <selection activeCell="J59" sqref="J59"/>
    </sheetView>
  </sheetViews>
  <sheetFormatPr defaultColWidth="9.140625" defaultRowHeight="23.25"/>
  <cols>
    <col min="1" max="1" width="8.85546875" style="249" customWidth="1"/>
    <col min="2" max="2" width="67.28515625" style="250" customWidth="1"/>
    <col min="3" max="3" width="17.85546875" style="8" hidden="1" customWidth="1"/>
    <col min="4" max="4" width="21.28515625" style="208" customWidth="1"/>
    <col min="5" max="5" width="28" style="208" hidden="1" customWidth="1"/>
    <col min="6" max="6" width="28.28515625" style="208" hidden="1" customWidth="1"/>
    <col min="7" max="7" width="24.85546875" style="208" bestFit="1" customWidth="1"/>
    <col min="8" max="9" width="28.28515625" style="208" hidden="1" customWidth="1"/>
    <col min="10" max="10" width="24.85546875" style="208" bestFit="1" customWidth="1"/>
    <col min="11" max="11" width="28.28515625" style="208" hidden="1" customWidth="1"/>
    <col min="12" max="12" width="25.85546875" style="208" bestFit="1" customWidth="1"/>
    <col min="13" max="13" width="34.28515625" style="208" bestFit="1" customWidth="1"/>
    <col min="14" max="14" width="38.140625" style="251" customWidth="1"/>
    <col min="15" max="15" width="36.140625" style="270" customWidth="1"/>
    <col min="16" max="16" width="45.85546875" style="8" hidden="1" customWidth="1"/>
    <col min="17" max="17" width="35" style="8" customWidth="1"/>
    <col min="18" max="18" width="42.140625" style="8" customWidth="1"/>
    <col min="19" max="19" width="0.7109375" style="8" hidden="1" customWidth="1"/>
    <col min="20" max="24" width="9.140625" style="8" hidden="1" customWidth="1"/>
    <col min="25" max="25" width="6.85546875" style="8" customWidth="1"/>
    <col min="26" max="16384" width="9.140625" style="8"/>
  </cols>
  <sheetData>
    <row r="1" spans="1:18" ht="30.75" customHeight="1">
      <c r="O1" s="525" t="s">
        <v>163</v>
      </c>
      <c r="P1" s="525"/>
      <c r="Q1" s="525"/>
      <c r="R1" s="525"/>
    </row>
    <row r="2" spans="1:18" ht="29.25" customHeight="1">
      <c r="O2" s="525" t="s">
        <v>166</v>
      </c>
      <c r="P2" s="525"/>
      <c r="Q2" s="525"/>
      <c r="R2" s="525"/>
    </row>
    <row r="3" spans="1:18" ht="24" customHeight="1">
      <c r="O3" s="525" t="s">
        <v>185</v>
      </c>
      <c r="P3" s="525"/>
      <c r="Q3" s="525"/>
      <c r="R3" s="525"/>
    </row>
    <row r="4" spans="1:18" ht="27" customHeight="1">
      <c r="O4" s="525" t="s">
        <v>79</v>
      </c>
      <c r="P4" s="525"/>
      <c r="Q4" s="525"/>
      <c r="R4" s="525"/>
    </row>
    <row r="5" spans="1:18" ht="29.25" customHeight="1">
      <c r="O5" s="525"/>
      <c r="P5" s="525"/>
      <c r="Q5" s="525"/>
      <c r="R5" s="525"/>
    </row>
    <row r="6" spans="1:18" ht="21.75" customHeight="1">
      <c r="N6" s="252"/>
      <c r="O6" s="280"/>
      <c r="P6" s="253"/>
      <c r="Q6" s="253"/>
      <c r="R6" s="253"/>
    </row>
    <row r="7" spans="1:18" ht="31.5" customHeight="1">
      <c r="O7" s="525" t="s">
        <v>162</v>
      </c>
      <c r="P7" s="525"/>
      <c r="Q7" s="525"/>
      <c r="R7" s="525"/>
    </row>
    <row r="8" spans="1:18" ht="27.75" customHeight="1">
      <c r="O8" s="525" t="s">
        <v>161</v>
      </c>
      <c r="P8" s="525"/>
      <c r="Q8" s="525"/>
      <c r="R8" s="525"/>
    </row>
    <row r="9" spans="1:18" ht="27.75" customHeight="1">
      <c r="N9" s="252"/>
      <c r="O9" s="280"/>
      <c r="P9" s="280"/>
      <c r="Q9" s="280"/>
      <c r="R9" s="280"/>
    </row>
    <row r="10" spans="1:18" ht="57" customHeight="1">
      <c r="A10" s="527" t="s">
        <v>192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27"/>
    </row>
    <row r="11" spans="1:18" ht="28.5" customHeight="1"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5" t="s">
        <v>101</v>
      </c>
    </row>
    <row r="12" spans="1:18" ht="24.75">
      <c r="A12" s="490" t="s">
        <v>1</v>
      </c>
      <c r="B12" s="490" t="s">
        <v>2</v>
      </c>
      <c r="C12" s="256"/>
      <c r="D12" s="504" t="s">
        <v>164</v>
      </c>
      <c r="E12" s="257"/>
      <c r="F12" s="257"/>
      <c r="G12" s="504" t="s">
        <v>142</v>
      </c>
      <c r="H12" s="257"/>
      <c r="I12" s="257"/>
      <c r="J12" s="504" t="s">
        <v>143</v>
      </c>
      <c r="K12" s="258"/>
      <c r="L12" s="504" t="s">
        <v>144</v>
      </c>
      <c r="M12" s="504" t="s">
        <v>188</v>
      </c>
      <c r="N12" s="504" t="s">
        <v>3</v>
      </c>
      <c r="O12" s="490" t="s">
        <v>4</v>
      </c>
      <c r="P12" s="490" t="s">
        <v>4</v>
      </c>
      <c r="Q12" s="490" t="s">
        <v>160</v>
      </c>
      <c r="R12" s="490" t="s">
        <v>5</v>
      </c>
    </row>
    <row r="13" spans="1:18" ht="46.5" customHeight="1">
      <c r="A13" s="490"/>
      <c r="B13" s="490"/>
      <c r="C13" s="31" t="s">
        <v>80</v>
      </c>
      <c r="D13" s="504"/>
      <c r="E13" s="229" t="s">
        <v>72</v>
      </c>
      <c r="F13" s="229" t="s">
        <v>130</v>
      </c>
      <c r="G13" s="504"/>
      <c r="H13" s="229" t="s">
        <v>72</v>
      </c>
      <c r="I13" s="229" t="s">
        <v>131</v>
      </c>
      <c r="J13" s="504"/>
      <c r="K13" s="206" t="s">
        <v>72</v>
      </c>
      <c r="L13" s="504"/>
      <c r="M13" s="504"/>
      <c r="N13" s="504"/>
      <c r="O13" s="490"/>
      <c r="P13" s="490"/>
      <c r="Q13" s="490"/>
      <c r="R13" s="490"/>
    </row>
    <row r="14" spans="1:18" s="259" customFormat="1" ht="42.75" customHeight="1">
      <c r="A14" s="496" t="s">
        <v>6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6"/>
    </row>
    <row r="15" spans="1:18" s="262" customFormat="1" ht="54.75" customHeight="1">
      <c r="A15" s="493" t="s">
        <v>125</v>
      </c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4" t="s">
        <v>165</v>
      </c>
    </row>
    <row r="16" spans="1:18" s="262" customFormat="1" ht="107.25" customHeight="1">
      <c r="A16" s="505" t="s">
        <v>84</v>
      </c>
      <c r="B16" s="50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494"/>
    </row>
    <row r="17" spans="1:18" ht="107.25" customHeight="1">
      <c r="A17" s="501">
        <v>1</v>
      </c>
      <c r="B17" s="488" t="s">
        <v>31</v>
      </c>
      <c r="C17" s="25">
        <f>C24+C26+C27+C28+C29+C30</f>
        <v>23003.7</v>
      </c>
      <c r="D17" s="206">
        <f>D24+D26+D27+D28+D29+D30</f>
        <v>28774.5</v>
      </c>
      <c r="E17" s="206">
        <f>E24+E26+E27+E28+E29+E30</f>
        <v>5770.8</v>
      </c>
      <c r="F17" s="206">
        <f>F24+F26+F27+F28+F29+F30</f>
        <v>19980.199999999997</v>
      </c>
      <c r="G17" s="219">
        <v>51262.540999999997</v>
      </c>
      <c r="H17" s="206"/>
      <c r="I17" s="206">
        <f>I24+I26+I27+I28+I29+I30</f>
        <v>19980.199999999997</v>
      </c>
      <c r="J17" s="219">
        <f>J24+J26+J27+J28+J29+J30+J32</f>
        <v>36044.949999999997</v>
      </c>
      <c r="K17" s="219"/>
      <c r="L17" s="219">
        <f>L24+L26+L27+L28+L29+L30</f>
        <v>35024.5</v>
      </c>
      <c r="M17" s="219">
        <f>M24+M26+M27+M28+M29+M30</f>
        <v>35024.6</v>
      </c>
      <c r="N17" s="219">
        <f>D17+G17+J17+L17+M17</f>
        <v>186131.09099999999</v>
      </c>
      <c r="O17" s="31" t="s">
        <v>7</v>
      </c>
      <c r="P17" s="31"/>
      <c r="Q17" s="31" t="s">
        <v>159</v>
      </c>
      <c r="R17" s="494"/>
    </row>
    <row r="18" spans="1:18" ht="46.5" customHeight="1">
      <c r="A18" s="506"/>
      <c r="B18" s="507"/>
      <c r="C18" s="25">
        <f>C25</f>
        <v>2584.5</v>
      </c>
      <c r="D18" s="206">
        <f>D25</f>
        <v>2834.5</v>
      </c>
      <c r="E18" s="206">
        <f>E25</f>
        <v>250</v>
      </c>
      <c r="F18" s="206">
        <f>F25</f>
        <v>2584.5</v>
      </c>
      <c r="G18" s="219">
        <v>2734.7</v>
      </c>
      <c r="H18" s="206"/>
      <c r="I18" s="206">
        <f>I25</f>
        <v>2584.5</v>
      </c>
      <c r="J18" s="219">
        <f>J25+J33+J55</f>
        <v>3426.4532799999997</v>
      </c>
      <c r="K18" s="219">
        <f>K25+K40+K55</f>
        <v>841.95327999999995</v>
      </c>
      <c r="L18" s="219">
        <f>L25+L40</f>
        <v>2664.9775</v>
      </c>
      <c r="M18" s="219">
        <f>M25+M40</f>
        <v>2664.9775</v>
      </c>
      <c r="N18" s="219">
        <f t="shared" ref="N18:N20" si="0">D18+G18+J18+L18+M18</f>
        <v>14325.60828</v>
      </c>
      <c r="O18" s="31" t="s">
        <v>8</v>
      </c>
      <c r="P18" s="31"/>
      <c r="Q18" s="31"/>
      <c r="R18" s="494"/>
    </row>
    <row r="19" spans="1:18" ht="46.5" customHeight="1">
      <c r="A19" s="502"/>
      <c r="B19" s="489"/>
      <c r="C19" s="25"/>
      <c r="D19" s="206">
        <v>0</v>
      </c>
      <c r="E19" s="206"/>
      <c r="F19" s="206"/>
      <c r="G19" s="219">
        <v>0</v>
      </c>
      <c r="H19" s="206"/>
      <c r="I19" s="206"/>
      <c r="J19" s="219">
        <f>J34</f>
        <v>2699.7777799999999</v>
      </c>
      <c r="K19" s="219"/>
      <c r="L19" s="219">
        <v>0</v>
      </c>
      <c r="M19" s="219">
        <v>0</v>
      </c>
      <c r="N19" s="219">
        <f t="shared" si="0"/>
        <v>2699.7777799999999</v>
      </c>
      <c r="O19" s="31" t="s">
        <v>9</v>
      </c>
      <c r="P19" s="31"/>
      <c r="Q19" s="31"/>
      <c r="R19" s="494"/>
    </row>
    <row r="20" spans="1:18" ht="108.75" customHeight="1">
      <c r="A20" s="10"/>
      <c r="B20" s="263" t="s">
        <v>37</v>
      </c>
      <c r="C20" s="25">
        <f>C18+C17</f>
        <v>25588.2</v>
      </c>
      <c r="D20" s="206">
        <f>D18+D17</f>
        <v>31609</v>
      </c>
      <c r="E20" s="206">
        <f t="shared" ref="E20:I20" si="1">E18+E17</f>
        <v>6020.8</v>
      </c>
      <c r="F20" s="206">
        <f t="shared" si="1"/>
        <v>22564.699999999997</v>
      </c>
      <c r="G20" s="219">
        <f>G17+G18+G19</f>
        <v>53997.240999999995</v>
      </c>
      <c r="H20" s="206">
        <f t="shared" si="1"/>
        <v>0</v>
      </c>
      <c r="I20" s="206">
        <f t="shared" si="1"/>
        <v>22564.699999999997</v>
      </c>
      <c r="J20" s="219">
        <f>J18+J17+J19</f>
        <v>42171.181059999995</v>
      </c>
      <c r="K20" s="219">
        <f t="shared" ref="K20:M20" si="2">K18+K17+K19</f>
        <v>841.95327999999995</v>
      </c>
      <c r="L20" s="219">
        <f>L18+L17+L19</f>
        <v>37689.477500000001</v>
      </c>
      <c r="M20" s="219">
        <f t="shared" si="2"/>
        <v>37689.577499999999</v>
      </c>
      <c r="N20" s="219">
        <f t="shared" si="0"/>
        <v>203156.47706</v>
      </c>
      <c r="O20" s="31"/>
      <c r="P20" s="31"/>
      <c r="Q20" s="31"/>
      <c r="R20" s="494"/>
    </row>
    <row r="21" spans="1:18" ht="35.25" customHeight="1">
      <c r="A21" s="10"/>
      <c r="B21" s="263" t="s">
        <v>10</v>
      </c>
      <c r="C21" s="25"/>
      <c r="D21" s="236">
        <v>31609</v>
      </c>
      <c r="E21" s="236"/>
      <c r="F21" s="236"/>
      <c r="G21" s="247"/>
      <c r="H21" s="236"/>
      <c r="I21" s="236"/>
      <c r="J21" s="248">
        <v>42171.181060000003</v>
      </c>
      <c r="K21" s="248"/>
      <c r="L21" s="248">
        <v>37689.477500000001</v>
      </c>
      <c r="M21" s="248">
        <v>37689.577499999999</v>
      </c>
      <c r="N21" s="219"/>
      <c r="O21" s="31"/>
      <c r="P21" s="260"/>
      <c r="Q21" s="260"/>
      <c r="R21" s="494"/>
    </row>
    <row r="22" spans="1:18" ht="24" hidden="1" customHeight="1">
      <c r="A22" s="10"/>
      <c r="B22" s="263"/>
      <c r="C22" s="25"/>
      <c r="D22" s="229">
        <f>D21-D20</f>
        <v>0</v>
      </c>
      <c r="E22" s="229"/>
      <c r="F22" s="229"/>
      <c r="G22" s="219"/>
      <c r="H22" s="229"/>
      <c r="I22" s="229"/>
      <c r="J22" s="264">
        <f>J21-J20</f>
        <v>0</v>
      </c>
      <c r="K22" s="264">
        <f t="shared" ref="K22:L22" si="3">K21-K20</f>
        <v>-841.95327999999995</v>
      </c>
      <c r="L22" s="264">
        <f t="shared" si="3"/>
        <v>0</v>
      </c>
      <c r="M22" s="264">
        <f>M21-M20</f>
        <v>0</v>
      </c>
      <c r="N22" s="219"/>
      <c r="O22" s="31"/>
      <c r="P22" s="260"/>
      <c r="Q22" s="260"/>
      <c r="R22" s="494"/>
    </row>
    <row r="23" spans="1:18" ht="24" hidden="1" customHeight="1">
      <c r="A23" s="10"/>
      <c r="B23" s="263"/>
      <c r="C23" s="25"/>
      <c r="D23" s="229"/>
      <c r="E23" s="229"/>
      <c r="F23" s="229"/>
      <c r="G23" s="219"/>
      <c r="H23" s="229"/>
      <c r="I23" s="229"/>
      <c r="J23" s="264"/>
      <c r="K23" s="264"/>
      <c r="L23" s="264"/>
      <c r="M23" s="264"/>
      <c r="N23" s="219">
        <f t="shared" ref="N23" si="4">D23+G23+J23+L23+M23</f>
        <v>0</v>
      </c>
      <c r="O23" s="31"/>
      <c r="P23" s="260"/>
      <c r="Q23" s="260"/>
      <c r="R23" s="494"/>
    </row>
    <row r="24" spans="1:18" ht="66.75" customHeight="1">
      <c r="A24" s="486" t="s">
        <v>11</v>
      </c>
      <c r="B24" s="500" t="s">
        <v>186</v>
      </c>
      <c r="C24" s="25">
        <v>100</v>
      </c>
      <c r="D24" s="206">
        <v>100</v>
      </c>
      <c r="E24" s="206">
        <f t="shared" ref="E24:E46" si="5">D24-C24</f>
        <v>0</v>
      </c>
      <c r="F24" s="206">
        <v>100</v>
      </c>
      <c r="G24" s="219">
        <v>2.7</v>
      </c>
      <c r="H24" s="206">
        <f>G24-F24</f>
        <v>-97.3</v>
      </c>
      <c r="I24" s="206">
        <v>100</v>
      </c>
      <c r="J24" s="219">
        <v>3</v>
      </c>
      <c r="K24" s="219">
        <f t="shared" ref="K24:K46" si="6">J24-I24</f>
        <v>-97</v>
      </c>
      <c r="L24" s="219">
        <f>J24</f>
        <v>3</v>
      </c>
      <c r="M24" s="219">
        <f>J24</f>
        <v>3</v>
      </c>
      <c r="N24" s="219">
        <f>D24+G24+J24+L24+M24</f>
        <v>111.7</v>
      </c>
      <c r="O24" s="31" t="s">
        <v>12</v>
      </c>
      <c r="P24" s="490" t="s">
        <v>134</v>
      </c>
      <c r="Q24" s="31"/>
      <c r="R24" s="494"/>
    </row>
    <row r="25" spans="1:18" ht="55.5" customHeight="1">
      <c r="A25" s="496"/>
      <c r="B25" s="500"/>
      <c r="C25" s="25">
        <v>2584.5</v>
      </c>
      <c r="D25" s="206">
        <v>2834.5</v>
      </c>
      <c r="E25" s="206">
        <f t="shared" si="5"/>
        <v>250</v>
      </c>
      <c r="F25" s="206">
        <v>2584.5</v>
      </c>
      <c r="G25" s="219">
        <v>2734.7</v>
      </c>
      <c r="H25" s="206">
        <f>G25-F25</f>
        <v>150.19999999999982</v>
      </c>
      <c r="I25" s="206">
        <v>2584.5</v>
      </c>
      <c r="J25" s="219">
        <v>2664.9775</v>
      </c>
      <c r="K25" s="219">
        <f t="shared" si="6"/>
        <v>80.477499999999964</v>
      </c>
      <c r="L25" s="219">
        <f>J25</f>
        <v>2664.9775</v>
      </c>
      <c r="M25" s="219">
        <f>J25</f>
        <v>2664.9775</v>
      </c>
      <c r="N25" s="219">
        <f t="shared" ref="N25:N54" si="7">D25+G25+J25+L25+M25</f>
        <v>13564.1325</v>
      </c>
      <c r="O25" s="31" t="s">
        <v>8</v>
      </c>
      <c r="P25" s="492"/>
      <c r="Q25" s="266"/>
      <c r="R25" s="494"/>
    </row>
    <row r="26" spans="1:18" ht="79.5" customHeight="1">
      <c r="A26" s="265" t="s">
        <v>13</v>
      </c>
      <c r="B26" s="263" t="s">
        <v>187</v>
      </c>
      <c r="C26" s="25">
        <v>2358.6999999999998</v>
      </c>
      <c r="D26" s="206">
        <v>1996</v>
      </c>
      <c r="E26" s="206">
        <f t="shared" si="5"/>
        <v>-362.69999999999982</v>
      </c>
      <c r="F26" s="206">
        <v>2056.1</v>
      </c>
      <c r="G26" s="219">
        <v>3413.52</v>
      </c>
      <c r="H26" s="206">
        <f t="shared" ref="H26:H45" si="8">G26-F26</f>
        <v>1357.42</v>
      </c>
      <c r="I26" s="206">
        <v>2056.1</v>
      </c>
      <c r="J26" s="219">
        <f>3321.3+'поясеительная+'!M19</f>
        <v>3400.68</v>
      </c>
      <c r="K26" s="219">
        <f t="shared" si="6"/>
        <v>1344.58</v>
      </c>
      <c r="L26" s="219">
        <v>3321.3</v>
      </c>
      <c r="M26" s="219">
        <v>3321.3</v>
      </c>
      <c r="N26" s="219">
        <f t="shared" si="7"/>
        <v>15452.8</v>
      </c>
      <c r="O26" s="31" t="s">
        <v>12</v>
      </c>
      <c r="P26" s="31" t="s">
        <v>128</v>
      </c>
      <c r="Q26" s="31"/>
      <c r="R26" s="494"/>
    </row>
    <row r="27" spans="1:18" ht="79.5" customHeight="1">
      <c r="A27" s="265" t="s">
        <v>14</v>
      </c>
      <c r="B27" s="263" t="s">
        <v>177</v>
      </c>
      <c r="C27" s="25">
        <v>11117.2</v>
      </c>
      <c r="D27" s="206">
        <v>12059.5</v>
      </c>
      <c r="E27" s="206">
        <f t="shared" si="5"/>
        <v>942.29999999999927</v>
      </c>
      <c r="F27" s="206">
        <v>8452.5</v>
      </c>
      <c r="G27" s="219">
        <v>14827</v>
      </c>
      <c r="H27" s="206">
        <f t="shared" si="8"/>
        <v>6374.5</v>
      </c>
      <c r="I27" s="206">
        <v>8452.5</v>
      </c>
      <c r="J27" s="219">
        <f>14500+'поясеительная+'!M20</f>
        <v>15648.82</v>
      </c>
      <c r="K27" s="219">
        <f t="shared" si="6"/>
        <v>7196.32</v>
      </c>
      <c r="L27" s="219">
        <f>J27</f>
        <v>15648.82</v>
      </c>
      <c r="M27" s="219">
        <v>14500</v>
      </c>
      <c r="N27" s="219">
        <f t="shared" si="7"/>
        <v>72684.14</v>
      </c>
      <c r="O27" s="31" t="s">
        <v>12</v>
      </c>
      <c r="P27" s="31"/>
      <c r="Q27" s="31"/>
      <c r="R27" s="494"/>
    </row>
    <row r="28" spans="1:18" ht="60.75" customHeight="1">
      <c r="A28" s="265" t="s">
        <v>15</v>
      </c>
      <c r="B28" s="263" t="s">
        <v>196</v>
      </c>
      <c r="C28" s="25">
        <v>3000</v>
      </c>
      <c r="D28" s="206">
        <v>3500</v>
      </c>
      <c r="E28" s="206">
        <f t="shared" si="5"/>
        <v>500</v>
      </c>
      <c r="F28" s="206">
        <v>6000</v>
      </c>
      <c r="G28" s="219">
        <v>500</v>
      </c>
      <c r="H28" s="206">
        <f t="shared" si="8"/>
        <v>-5500</v>
      </c>
      <c r="I28" s="206">
        <v>6000</v>
      </c>
      <c r="J28" s="219">
        <v>5000</v>
      </c>
      <c r="K28" s="219">
        <f t="shared" si="6"/>
        <v>-1000</v>
      </c>
      <c r="L28" s="219">
        <v>5000</v>
      </c>
      <c r="M28" s="219">
        <v>5000</v>
      </c>
      <c r="N28" s="219">
        <f>D28+G28+J28+L28+M28</f>
        <v>19000</v>
      </c>
      <c r="O28" s="31" t="s">
        <v>12</v>
      </c>
      <c r="P28" s="31" t="s">
        <v>135</v>
      </c>
      <c r="Q28" s="31"/>
      <c r="R28" s="494"/>
    </row>
    <row r="29" spans="1:18" ht="72.75" customHeight="1">
      <c r="A29" s="265" t="s">
        <v>16</v>
      </c>
      <c r="B29" s="263" t="s">
        <v>178</v>
      </c>
      <c r="C29" s="25">
        <v>5861</v>
      </c>
      <c r="D29" s="206">
        <v>10552.2</v>
      </c>
      <c r="E29" s="206">
        <f t="shared" si="5"/>
        <v>4691.2000000000007</v>
      </c>
      <c r="F29" s="206">
        <v>3371.6</v>
      </c>
      <c r="G29" s="219">
        <v>18953.221000000001</v>
      </c>
      <c r="H29" s="206">
        <f t="shared" si="8"/>
        <v>15581.621000000001</v>
      </c>
      <c r="I29" s="206">
        <v>3371.6</v>
      </c>
      <c r="J29" s="219">
        <f>16720.3-5000+'поясеительная+'!M22</f>
        <v>11509.449999999999</v>
      </c>
      <c r="K29" s="219">
        <f t="shared" si="6"/>
        <v>8137.8499999999985</v>
      </c>
      <c r="L29" s="219">
        <f>16720.2-5000-1148.82</f>
        <v>10571.380000000001</v>
      </c>
      <c r="M29" s="219">
        <f>J29+219.85-9</f>
        <v>11720.3</v>
      </c>
      <c r="N29" s="219">
        <f t="shared" si="7"/>
        <v>63306.551000000007</v>
      </c>
      <c r="O29" s="31" t="s">
        <v>12</v>
      </c>
      <c r="P29" s="229" t="s">
        <v>136</v>
      </c>
      <c r="Q29" s="229"/>
      <c r="R29" s="494"/>
    </row>
    <row r="30" spans="1:18" ht="104.25" customHeight="1">
      <c r="A30" s="265" t="s">
        <v>17</v>
      </c>
      <c r="B30" s="263" t="s">
        <v>190</v>
      </c>
      <c r="C30" s="25">
        <v>566.79999999999995</v>
      </c>
      <c r="D30" s="206">
        <v>566.79999999999995</v>
      </c>
      <c r="E30" s="206">
        <f t="shared" si="5"/>
        <v>0</v>
      </c>
      <c r="F30" s="206">
        <v>0</v>
      </c>
      <c r="G30" s="219">
        <v>540</v>
      </c>
      <c r="H30" s="206">
        <f t="shared" si="8"/>
        <v>540</v>
      </c>
      <c r="I30" s="206">
        <v>0</v>
      </c>
      <c r="J30" s="219">
        <v>480</v>
      </c>
      <c r="K30" s="219">
        <f t="shared" si="6"/>
        <v>480</v>
      </c>
      <c r="L30" s="219">
        <f t="shared" ref="L30" si="9">J30</f>
        <v>480</v>
      </c>
      <c r="M30" s="219">
        <f>J30</f>
        <v>480</v>
      </c>
      <c r="N30" s="219">
        <f t="shared" si="7"/>
        <v>2546.8000000000002</v>
      </c>
      <c r="O30" s="31" t="s">
        <v>12</v>
      </c>
      <c r="P30" s="31"/>
      <c r="Q30" s="31"/>
      <c r="R30" s="494"/>
    </row>
    <row r="31" spans="1:18" ht="120" customHeight="1">
      <c r="A31" s="265" t="s">
        <v>18</v>
      </c>
      <c r="B31" s="263" t="s">
        <v>184</v>
      </c>
      <c r="C31" s="25"/>
      <c r="D31" s="206">
        <v>0</v>
      </c>
      <c r="E31" s="206"/>
      <c r="F31" s="206"/>
      <c r="G31" s="219">
        <v>13026.1</v>
      </c>
      <c r="H31" s="206"/>
      <c r="I31" s="206"/>
      <c r="J31" s="219">
        <v>0</v>
      </c>
      <c r="K31" s="219"/>
      <c r="L31" s="219">
        <v>0</v>
      </c>
      <c r="M31" s="219">
        <v>0</v>
      </c>
      <c r="N31" s="219">
        <f t="shared" si="7"/>
        <v>13026.1</v>
      </c>
      <c r="O31" s="31" t="s">
        <v>12</v>
      </c>
      <c r="P31" s="31"/>
      <c r="Q31" s="31"/>
      <c r="R31" s="494"/>
    </row>
    <row r="32" spans="1:18" ht="24">
      <c r="A32" s="513" t="s">
        <v>19</v>
      </c>
      <c r="B32" s="488" t="s">
        <v>189</v>
      </c>
      <c r="C32" s="25"/>
      <c r="D32" s="206">
        <v>0</v>
      </c>
      <c r="E32" s="206"/>
      <c r="F32" s="206"/>
      <c r="G32" s="219">
        <v>0</v>
      </c>
      <c r="H32" s="206"/>
      <c r="I32" s="206"/>
      <c r="J32" s="219">
        <v>3</v>
      </c>
      <c r="K32" s="219"/>
      <c r="L32" s="219">
        <v>0</v>
      </c>
      <c r="M32" s="219">
        <v>0</v>
      </c>
      <c r="N32" s="219">
        <f t="shared" si="7"/>
        <v>3</v>
      </c>
      <c r="O32" s="31" t="s">
        <v>12</v>
      </c>
      <c r="P32" s="31"/>
      <c r="Q32" s="31"/>
      <c r="R32" s="494"/>
    </row>
    <row r="33" spans="1:18" ht="24">
      <c r="A33" s="514"/>
      <c r="B33" s="514"/>
      <c r="C33" s="25"/>
      <c r="D33" s="206">
        <v>0</v>
      </c>
      <c r="E33" s="206"/>
      <c r="F33" s="206"/>
      <c r="G33" s="219">
        <v>0</v>
      </c>
      <c r="H33" s="206"/>
      <c r="I33" s="206"/>
      <c r="J33" s="219">
        <v>761.47577999999999</v>
      </c>
      <c r="K33" s="219"/>
      <c r="L33" s="219">
        <v>0</v>
      </c>
      <c r="M33" s="219">
        <v>0</v>
      </c>
      <c r="N33" s="219">
        <f t="shared" si="7"/>
        <v>761.47577999999999</v>
      </c>
      <c r="O33" s="31" t="s">
        <v>8</v>
      </c>
      <c r="P33" s="31"/>
      <c r="Q33" s="31"/>
      <c r="R33" s="494"/>
    </row>
    <row r="34" spans="1:18" ht="24">
      <c r="A34" s="489"/>
      <c r="B34" s="489"/>
      <c r="C34" s="25"/>
      <c r="D34" s="206">
        <v>0</v>
      </c>
      <c r="E34" s="206"/>
      <c r="F34" s="206"/>
      <c r="G34" s="219">
        <v>0</v>
      </c>
      <c r="H34" s="206"/>
      <c r="I34" s="206"/>
      <c r="J34" s="219">
        <v>2699.7777799999999</v>
      </c>
      <c r="K34" s="219"/>
      <c r="L34" s="219">
        <v>0</v>
      </c>
      <c r="M34" s="219">
        <v>0</v>
      </c>
      <c r="N34" s="219">
        <f t="shared" si="7"/>
        <v>2699.7777799999999</v>
      </c>
      <c r="O34" s="31" t="s">
        <v>9</v>
      </c>
      <c r="P34" s="31"/>
      <c r="Q34" s="31"/>
      <c r="R34" s="494"/>
    </row>
    <row r="35" spans="1:18" s="268" customFormat="1" ht="50.25" customHeight="1">
      <c r="A35" s="572">
        <v>2</v>
      </c>
      <c r="B35" s="575" t="s">
        <v>32</v>
      </c>
      <c r="C35" s="214"/>
      <c r="D35" s="215">
        <v>560</v>
      </c>
      <c r="E35" s="215"/>
      <c r="F35" s="215"/>
      <c r="G35" s="222">
        <v>116</v>
      </c>
      <c r="H35" s="215"/>
      <c r="I35" s="215"/>
      <c r="J35" s="222">
        <v>0</v>
      </c>
      <c r="K35" s="222"/>
      <c r="L35" s="222">
        <v>0</v>
      </c>
      <c r="M35" s="222">
        <v>0</v>
      </c>
      <c r="N35" s="219">
        <f t="shared" si="7"/>
        <v>676</v>
      </c>
      <c r="O35" s="267" t="s">
        <v>12</v>
      </c>
      <c r="P35" s="267"/>
      <c r="Q35" s="267"/>
      <c r="R35" s="494"/>
    </row>
    <row r="36" spans="1:18" s="268" customFormat="1" ht="50.25" customHeight="1">
      <c r="A36" s="573"/>
      <c r="B36" s="576"/>
      <c r="C36" s="214"/>
      <c r="D36" s="215">
        <v>1016.4</v>
      </c>
      <c r="E36" s="215"/>
      <c r="F36" s="215"/>
      <c r="G36" s="222">
        <v>600</v>
      </c>
      <c r="H36" s="215"/>
      <c r="I36" s="215"/>
      <c r="J36" s="222">
        <v>0</v>
      </c>
      <c r="K36" s="222"/>
      <c r="L36" s="222">
        <v>0</v>
      </c>
      <c r="M36" s="222">
        <v>0</v>
      </c>
      <c r="N36" s="219">
        <f t="shared" si="7"/>
        <v>1616.4</v>
      </c>
      <c r="O36" s="267" t="s">
        <v>8</v>
      </c>
      <c r="P36" s="267"/>
      <c r="Q36" s="267"/>
      <c r="R36" s="494"/>
    </row>
    <row r="37" spans="1:18" s="268" customFormat="1" ht="85.5" customHeight="1">
      <c r="A37" s="573"/>
      <c r="B37" s="577"/>
      <c r="C37" s="214"/>
      <c r="D37" s="215">
        <v>6692.4</v>
      </c>
      <c r="E37" s="215"/>
      <c r="F37" s="215"/>
      <c r="G37" s="222">
        <v>2257.1999999999998</v>
      </c>
      <c r="H37" s="215"/>
      <c r="I37" s="215"/>
      <c r="J37" s="222">
        <v>0</v>
      </c>
      <c r="K37" s="222"/>
      <c r="L37" s="222">
        <v>0</v>
      </c>
      <c r="M37" s="222">
        <v>0</v>
      </c>
      <c r="N37" s="219">
        <f t="shared" si="7"/>
        <v>8949.5999999999985</v>
      </c>
      <c r="O37" s="267" t="s">
        <v>9</v>
      </c>
      <c r="P37" s="267"/>
      <c r="Q37" s="267"/>
      <c r="R37" s="494"/>
    </row>
    <row r="38" spans="1:18" s="268" customFormat="1" ht="79.5" customHeight="1">
      <c r="A38" s="574"/>
      <c r="B38" s="267" t="s">
        <v>38</v>
      </c>
      <c r="C38" s="214"/>
      <c r="D38" s="215">
        <f>D35+D36+D37</f>
        <v>8268.7999999999993</v>
      </c>
      <c r="E38" s="215">
        <f t="shared" ref="E38:K38" si="10">E35+E36+E37</f>
        <v>0</v>
      </c>
      <c r="F38" s="215">
        <f t="shared" si="10"/>
        <v>0</v>
      </c>
      <c r="G38" s="222">
        <f t="shared" si="10"/>
        <v>2973.2</v>
      </c>
      <c r="H38" s="215">
        <f t="shared" si="10"/>
        <v>0</v>
      </c>
      <c r="I38" s="215">
        <f t="shared" si="10"/>
        <v>0</v>
      </c>
      <c r="J38" s="222">
        <f t="shared" si="10"/>
        <v>0</v>
      </c>
      <c r="K38" s="222">
        <f t="shared" si="10"/>
        <v>0</v>
      </c>
      <c r="L38" s="222">
        <v>0</v>
      </c>
      <c r="M38" s="222">
        <v>0</v>
      </c>
      <c r="N38" s="219">
        <f>D38+G38+J38+L38+M38</f>
        <v>11242</v>
      </c>
      <c r="O38" s="267"/>
      <c r="P38" s="267"/>
      <c r="Q38" s="267" t="s">
        <v>195</v>
      </c>
      <c r="R38" s="494"/>
    </row>
    <row r="39" spans="1:18" ht="37.5" customHeight="1">
      <c r="A39" s="486" t="s">
        <v>48</v>
      </c>
      <c r="B39" s="499" t="s">
        <v>189</v>
      </c>
      <c r="C39" s="25">
        <v>500</v>
      </c>
      <c r="D39" s="206">
        <v>500</v>
      </c>
      <c r="E39" s="206">
        <f t="shared" si="5"/>
        <v>0</v>
      </c>
      <c r="F39" s="206">
        <v>500</v>
      </c>
      <c r="G39" s="219">
        <v>0</v>
      </c>
      <c r="H39" s="206">
        <f t="shared" si="8"/>
        <v>-500</v>
      </c>
      <c r="I39" s="206">
        <v>0</v>
      </c>
      <c r="J39" s="222">
        <v>0</v>
      </c>
      <c r="K39" s="219">
        <f>J32-I39</f>
        <v>3</v>
      </c>
      <c r="L39" s="219">
        <v>0</v>
      </c>
      <c r="M39" s="219">
        <v>0</v>
      </c>
      <c r="N39" s="219">
        <f>D39+G39+J32+L39+M39</f>
        <v>503</v>
      </c>
      <c r="O39" s="31" t="s">
        <v>12</v>
      </c>
      <c r="P39" s="31"/>
      <c r="Q39" s="31"/>
      <c r="R39" s="494"/>
    </row>
    <row r="40" spans="1:18" ht="38.25" customHeight="1">
      <c r="A40" s="496"/>
      <c r="B40" s="500"/>
      <c r="C40" s="25">
        <v>874.6</v>
      </c>
      <c r="D40" s="206">
        <v>874.6</v>
      </c>
      <c r="E40" s="206">
        <f t="shared" si="5"/>
        <v>0</v>
      </c>
      <c r="F40" s="206">
        <v>914.7</v>
      </c>
      <c r="G40" s="219">
        <v>0</v>
      </c>
      <c r="H40" s="206">
        <f t="shared" si="8"/>
        <v>-914.7</v>
      </c>
      <c r="I40" s="206">
        <v>0</v>
      </c>
      <c r="J40" s="222">
        <v>0</v>
      </c>
      <c r="K40" s="219">
        <f>J33-I40</f>
        <v>761.47577999999999</v>
      </c>
      <c r="L40" s="219">
        <v>0</v>
      </c>
      <c r="M40" s="219">
        <v>0</v>
      </c>
      <c r="N40" s="219">
        <f>D40+G40+J33+L40+M40</f>
        <v>1636.0757800000001</v>
      </c>
      <c r="O40" s="31" t="s">
        <v>8</v>
      </c>
      <c r="P40" s="31"/>
      <c r="Q40" s="31"/>
      <c r="R40" s="494"/>
    </row>
    <row r="41" spans="1:18" ht="31.5" customHeight="1">
      <c r="A41" s="496"/>
      <c r="B41" s="500"/>
      <c r="C41" s="25">
        <v>3290.2</v>
      </c>
      <c r="D41" s="206">
        <v>3290.2</v>
      </c>
      <c r="E41" s="206">
        <f t="shared" si="5"/>
        <v>0</v>
      </c>
      <c r="F41" s="206">
        <v>3440.8</v>
      </c>
      <c r="G41" s="219">
        <v>0</v>
      </c>
      <c r="H41" s="206">
        <f t="shared" si="8"/>
        <v>-3440.8</v>
      </c>
      <c r="I41" s="206">
        <v>0</v>
      </c>
      <c r="J41" s="222">
        <v>0</v>
      </c>
      <c r="K41" s="219">
        <f>J34-I41</f>
        <v>2699.7777799999999</v>
      </c>
      <c r="L41" s="219">
        <v>0</v>
      </c>
      <c r="M41" s="219">
        <v>0</v>
      </c>
      <c r="N41" s="219">
        <f>D41+G41+J34+L41+M41</f>
        <v>5989.9777799999993</v>
      </c>
      <c r="O41" s="31" t="s">
        <v>9</v>
      </c>
      <c r="P41" s="31"/>
      <c r="Q41" s="31"/>
      <c r="R41" s="494"/>
    </row>
    <row r="42" spans="1:18" ht="72.75" customHeight="1">
      <c r="A42" s="10"/>
      <c r="B42" s="263" t="s">
        <v>60</v>
      </c>
      <c r="C42" s="25">
        <f>C39+C40+C41</f>
        <v>4664.7999999999993</v>
      </c>
      <c r="D42" s="206">
        <f>D39+D40+D41</f>
        <v>4664.7999999999993</v>
      </c>
      <c r="E42" s="206">
        <f t="shared" si="5"/>
        <v>0</v>
      </c>
      <c r="F42" s="206">
        <f>F39+F40+F41</f>
        <v>4855.5</v>
      </c>
      <c r="G42" s="219">
        <f>G39+G40+G41</f>
        <v>0</v>
      </c>
      <c r="H42" s="206">
        <f t="shared" si="8"/>
        <v>-4855.5</v>
      </c>
      <c r="I42" s="206">
        <f>I39+I40+I41</f>
        <v>0</v>
      </c>
      <c r="J42" s="219">
        <v>0</v>
      </c>
      <c r="K42" s="219">
        <f t="shared" si="6"/>
        <v>0</v>
      </c>
      <c r="L42" s="219">
        <v>0</v>
      </c>
      <c r="M42" s="219">
        <v>0</v>
      </c>
      <c r="N42" s="219">
        <f t="shared" si="7"/>
        <v>4664.7999999999993</v>
      </c>
      <c r="O42" s="31"/>
      <c r="P42" s="31"/>
      <c r="Q42" s="31"/>
      <c r="R42" s="494"/>
    </row>
    <row r="43" spans="1:18" ht="76.5" customHeight="1">
      <c r="A43" s="486" t="s">
        <v>61</v>
      </c>
      <c r="B43" s="500" t="s">
        <v>179</v>
      </c>
      <c r="C43" s="25">
        <v>60</v>
      </c>
      <c r="D43" s="206">
        <v>60</v>
      </c>
      <c r="E43" s="206">
        <f t="shared" si="5"/>
        <v>0</v>
      </c>
      <c r="F43" s="206">
        <v>62</v>
      </c>
      <c r="G43" s="219">
        <v>0</v>
      </c>
      <c r="H43" s="206">
        <f t="shared" si="8"/>
        <v>-62</v>
      </c>
      <c r="I43" s="206">
        <v>0</v>
      </c>
      <c r="J43" s="219">
        <v>0</v>
      </c>
      <c r="K43" s="219">
        <f t="shared" si="6"/>
        <v>0</v>
      </c>
      <c r="L43" s="219">
        <v>0</v>
      </c>
      <c r="M43" s="219">
        <v>0</v>
      </c>
      <c r="N43" s="219">
        <f t="shared" si="7"/>
        <v>60</v>
      </c>
      <c r="O43" s="31" t="s">
        <v>12</v>
      </c>
      <c r="P43" s="31"/>
      <c r="Q43" s="31"/>
      <c r="R43" s="494"/>
    </row>
    <row r="44" spans="1:18" ht="62.25" customHeight="1">
      <c r="A44" s="496"/>
      <c r="B44" s="500"/>
      <c r="C44" s="25">
        <v>141.80000000000001</v>
      </c>
      <c r="D44" s="206">
        <v>141.80000000000001</v>
      </c>
      <c r="E44" s="206">
        <f t="shared" si="5"/>
        <v>0</v>
      </c>
      <c r="F44" s="206">
        <v>147.19999999999999</v>
      </c>
      <c r="G44" s="219">
        <v>0</v>
      </c>
      <c r="H44" s="206">
        <f t="shared" si="8"/>
        <v>-147.19999999999999</v>
      </c>
      <c r="I44" s="206">
        <v>0</v>
      </c>
      <c r="J44" s="219">
        <v>0</v>
      </c>
      <c r="K44" s="219">
        <f t="shared" si="6"/>
        <v>0</v>
      </c>
      <c r="L44" s="219">
        <v>0</v>
      </c>
      <c r="M44" s="219">
        <v>0</v>
      </c>
      <c r="N44" s="219">
        <f t="shared" si="7"/>
        <v>141.80000000000001</v>
      </c>
      <c r="O44" s="31" t="s">
        <v>8</v>
      </c>
      <c r="P44" s="31"/>
      <c r="Q44" s="31"/>
      <c r="R44" s="494"/>
    </row>
    <row r="45" spans="1:18" ht="76.5" customHeight="1">
      <c r="A45" s="496"/>
      <c r="B45" s="500"/>
      <c r="C45" s="25">
        <v>3402.2</v>
      </c>
      <c r="D45" s="206">
        <v>3402.2</v>
      </c>
      <c r="E45" s="206">
        <f t="shared" si="5"/>
        <v>0</v>
      </c>
      <c r="F45" s="206">
        <v>3533</v>
      </c>
      <c r="G45" s="219">
        <v>0</v>
      </c>
      <c r="H45" s="206">
        <f t="shared" si="8"/>
        <v>-3533</v>
      </c>
      <c r="I45" s="206">
        <v>0</v>
      </c>
      <c r="J45" s="219">
        <v>0</v>
      </c>
      <c r="K45" s="219">
        <f t="shared" si="6"/>
        <v>0</v>
      </c>
      <c r="L45" s="219">
        <v>0</v>
      </c>
      <c r="M45" s="219">
        <v>0</v>
      </c>
      <c r="N45" s="219">
        <f t="shared" si="7"/>
        <v>3402.2</v>
      </c>
      <c r="O45" s="31" t="s">
        <v>9</v>
      </c>
      <c r="P45" s="31"/>
      <c r="Q45" s="31"/>
      <c r="R45" s="494"/>
    </row>
    <row r="46" spans="1:18" ht="223.5" customHeight="1">
      <c r="A46" s="10"/>
      <c r="B46" s="263" t="s">
        <v>69</v>
      </c>
      <c r="C46" s="25">
        <f>C43+C44+C45</f>
        <v>3604</v>
      </c>
      <c r="D46" s="206">
        <f t="shared" ref="D46:J46" si="11">D43+D44+D45</f>
        <v>3604</v>
      </c>
      <c r="E46" s="206">
        <f t="shared" si="5"/>
        <v>0</v>
      </c>
      <c r="F46" s="206">
        <f t="shared" si="11"/>
        <v>3742.2</v>
      </c>
      <c r="G46" s="219">
        <v>0</v>
      </c>
      <c r="H46" s="206">
        <f t="shared" si="11"/>
        <v>-3742.2</v>
      </c>
      <c r="I46" s="206">
        <f t="shared" si="11"/>
        <v>0</v>
      </c>
      <c r="J46" s="219">
        <f t="shared" si="11"/>
        <v>0</v>
      </c>
      <c r="K46" s="219">
        <f t="shared" si="6"/>
        <v>0</v>
      </c>
      <c r="L46" s="219">
        <v>0</v>
      </c>
      <c r="M46" s="219">
        <v>0</v>
      </c>
      <c r="N46" s="219">
        <f t="shared" si="7"/>
        <v>3604</v>
      </c>
      <c r="O46" s="31"/>
      <c r="P46" s="31"/>
      <c r="Q46" s="31"/>
      <c r="R46" s="494"/>
    </row>
    <row r="47" spans="1:18" ht="78" customHeight="1">
      <c r="A47" s="501">
        <v>3</v>
      </c>
      <c r="B47" s="488" t="s">
        <v>51</v>
      </c>
      <c r="C47" s="25">
        <v>7251.3</v>
      </c>
      <c r="D47" s="206">
        <v>7506.7</v>
      </c>
      <c r="E47" s="206">
        <f>D47-C47</f>
        <v>255.39999999999964</v>
      </c>
      <c r="F47" s="206">
        <v>6849.6</v>
      </c>
      <c r="G47" s="219">
        <v>10304.700000000001</v>
      </c>
      <c r="H47" s="206">
        <f>G47-F47</f>
        <v>3455.1000000000004</v>
      </c>
      <c r="I47" s="206">
        <v>6849.6</v>
      </c>
      <c r="J47" s="219">
        <f>8194.6+'поясеительная+'!M40</f>
        <v>12333.6</v>
      </c>
      <c r="K47" s="219">
        <f>J47-I47</f>
        <v>5484</v>
      </c>
      <c r="L47" s="219">
        <v>8194.6</v>
      </c>
      <c r="M47" s="219">
        <v>8194.6</v>
      </c>
      <c r="N47" s="219">
        <f>D47+G47+J47+L47+M47</f>
        <v>46534.2</v>
      </c>
      <c r="O47" s="31" t="s">
        <v>12</v>
      </c>
      <c r="P47" s="31" t="s">
        <v>137</v>
      </c>
      <c r="Q47" s="31" t="s">
        <v>159</v>
      </c>
      <c r="R47" s="494"/>
    </row>
    <row r="48" spans="1:18" ht="78" customHeight="1">
      <c r="A48" s="502"/>
      <c r="B48" s="489"/>
      <c r="C48" s="25"/>
      <c r="D48" s="206">
        <v>0</v>
      </c>
      <c r="E48" s="206"/>
      <c r="F48" s="206"/>
      <c r="G48" s="219">
        <v>250</v>
      </c>
      <c r="H48" s="206"/>
      <c r="I48" s="206"/>
      <c r="J48" s="219">
        <v>0</v>
      </c>
      <c r="K48" s="219"/>
      <c r="L48" s="219">
        <v>0</v>
      </c>
      <c r="M48" s="219">
        <v>0</v>
      </c>
      <c r="N48" s="219">
        <f t="shared" si="7"/>
        <v>250</v>
      </c>
      <c r="O48" s="31" t="s">
        <v>8</v>
      </c>
      <c r="P48" s="31"/>
      <c r="Q48" s="31"/>
      <c r="R48" s="494"/>
    </row>
    <row r="49" spans="1:18" ht="57" customHeight="1">
      <c r="A49" s="10">
        <v>4</v>
      </c>
      <c r="B49" s="263" t="s">
        <v>86</v>
      </c>
      <c r="C49" s="25">
        <f>C50+C51</f>
        <v>40000</v>
      </c>
      <c r="D49" s="206">
        <f>D50+D51</f>
        <v>40000</v>
      </c>
      <c r="E49" s="206">
        <f t="shared" ref="E49:F49" si="12">E50+E51</f>
        <v>0</v>
      </c>
      <c r="F49" s="206">
        <f t="shared" si="12"/>
        <v>0</v>
      </c>
      <c r="G49" s="219">
        <v>0</v>
      </c>
      <c r="H49" s="206"/>
      <c r="I49" s="206"/>
      <c r="J49" s="219">
        <v>0</v>
      </c>
      <c r="K49" s="219"/>
      <c r="L49" s="219">
        <v>0</v>
      </c>
      <c r="M49" s="219">
        <v>0</v>
      </c>
      <c r="N49" s="219">
        <f t="shared" si="7"/>
        <v>40000</v>
      </c>
      <c r="O49" s="31"/>
      <c r="P49" s="31"/>
      <c r="Q49" s="31" t="s">
        <v>159</v>
      </c>
      <c r="R49" s="494"/>
    </row>
    <row r="50" spans="1:18" ht="117" customHeight="1">
      <c r="A50" s="497" t="s">
        <v>54</v>
      </c>
      <c r="B50" s="500" t="s">
        <v>182</v>
      </c>
      <c r="C50" s="25">
        <v>40</v>
      </c>
      <c r="D50" s="206">
        <v>40</v>
      </c>
      <c r="E50" s="206"/>
      <c r="F50" s="206">
        <v>0</v>
      </c>
      <c r="G50" s="219">
        <v>0</v>
      </c>
      <c r="H50" s="206"/>
      <c r="I50" s="206">
        <v>0</v>
      </c>
      <c r="J50" s="219">
        <v>0</v>
      </c>
      <c r="K50" s="219"/>
      <c r="L50" s="219">
        <v>0</v>
      </c>
      <c r="M50" s="219">
        <v>0</v>
      </c>
      <c r="N50" s="219">
        <f t="shared" si="7"/>
        <v>40</v>
      </c>
      <c r="O50" s="31" t="str">
        <f>O47</f>
        <v>Бюджет ЗГО</v>
      </c>
      <c r="P50" s="31"/>
      <c r="Q50" s="31"/>
      <c r="R50" s="494"/>
    </row>
    <row r="51" spans="1:18" ht="117" customHeight="1">
      <c r="A51" s="497"/>
      <c r="B51" s="503"/>
      <c r="C51" s="25">
        <v>39960</v>
      </c>
      <c r="D51" s="206">
        <v>39960</v>
      </c>
      <c r="E51" s="206"/>
      <c r="F51" s="206">
        <v>0</v>
      </c>
      <c r="G51" s="219">
        <v>0</v>
      </c>
      <c r="H51" s="206"/>
      <c r="I51" s="206">
        <v>0</v>
      </c>
      <c r="J51" s="219">
        <v>0</v>
      </c>
      <c r="K51" s="219"/>
      <c r="L51" s="219">
        <v>0</v>
      </c>
      <c r="M51" s="219">
        <v>0</v>
      </c>
      <c r="N51" s="219">
        <f t="shared" si="7"/>
        <v>39960</v>
      </c>
      <c r="O51" s="31" t="str">
        <f>O44</f>
        <v>Областной бюджет</v>
      </c>
      <c r="P51" s="31"/>
      <c r="Q51" s="31"/>
      <c r="R51" s="494"/>
    </row>
    <row r="52" spans="1:18" ht="107.25" customHeight="1">
      <c r="A52" s="10">
        <v>5</v>
      </c>
      <c r="B52" s="263" t="s">
        <v>100</v>
      </c>
      <c r="C52" s="25">
        <f>C53+C54</f>
        <v>87588.9</v>
      </c>
      <c r="D52" s="206">
        <f>D53</f>
        <v>84088.9</v>
      </c>
      <c r="E52" s="206">
        <f t="shared" ref="E52:F52" si="13">E53</f>
        <v>0</v>
      </c>
      <c r="F52" s="206">
        <f t="shared" si="13"/>
        <v>0</v>
      </c>
      <c r="G52" s="219">
        <v>0</v>
      </c>
      <c r="H52" s="219">
        <f t="shared" ref="H52:K52" si="14">H53+H54+H55</f>
        <v>0</v>
      </c>
      <c r="I52" s="219">
        <f t="shared" si="14"/>
        <v>0</v>
      </c>
      <c r="J52" s="219">
        <f t="shared" si="14"/>
        <v>0</v>
      </c>
      <c r="K52" s="219">
        <f t="shared" si="14"/>
        <v>0</v>
      </c>
      <c r="L52" s="219">
        <f>L55+L54</f>
        <v>23897.392</v>
      </c>
      <c r="M52" s="219">
        <f>M55+M54</f>
        <v>97318.53</v>
      </c>
      <c r="N52" s="219">
        <f t="shared" si="7"/>
        <v>205304.82199999999</v>
      </c>
      <c r="P52" s="31"/>
      <c r="Q52" s="31" t="s">
        <v>220</v>
      </c>
      <c r="R52" s="494"/>
    </row>
    <row r="53" spans="1:18" ht="140.25" customHeight="1">
      <c r="A53" s="269" t="s">
        <v>123</v>
      </c>
      <c r="B53" s="263" t="s">
        <v>180</v>
      </c>
      <c r="C53" s="25">
        <f>87588.9-3500</f>
        <v>84088.9</v>
      </c>
      <c r="D53" s="206">
        <v>84088.9</v>
      </c>
      <c r="E53" s="206"/>
      <c r="F53" s="206">
        <v>0</v>
      </c>
      <c r="G53" s="219">
        <v>590</v>
      </c>
      <c r="H53" s="206"/>
      <c r="I53" s="206">
        <v>0</v>
      </c>
      <c r="J53" s="219">
        <v>0</v>
      </c>
      <c r="K53" s="219"/>
      <c r="L53" s="219">
        <v>0</v>
      </c>
      <c r="M53" s="219">
        <v>0</v>
      </c>
      <c r="N53" s="219">
        <f>D53+G53+J53+L53+M53</f>
        <v>84678.9</v>
      </c>
      <c r="O53" s="31"/>
      <c r="P53" s="31"/>
      <c r="Q53" s="31" t="s">
        <v>159</v>
      </c>
      <c r="R53" s="494"/>
    </row>
    <row r="54" spans="1:18" ht="39" customHeight="1">
      <c r="A54" s="497" t="s">
        <v>124</v>
      </c>
      <c r="B54" s="500" t="s">
        <v>208</v>
      </c>
      <c r="C54" s="25">
        <v>3500</v>
      </c>
      <c r="D54" s="206">
        <v>0</v>
      </c>
      <c r="E54" s="206"/>
      <c r="F54" s="206">
        <v>0</v>
      </c>
      <c r="G54" s="219">
        <v>0</v>
      </c>
      <c r="H54" s="206"/>
      <c r="I54" s="206">
        <v>0</v>
      </c>
      <c r="J54" s="219">
        <v>0</v>
      </c>
      <c r="K54" s="219"/>
      <c r="L54" s="219">
        <f>32.4-0.36</f>
        <v>32.04</v>
      </c>
      <c r="M54" s="219">
        <v>97.32</v>
      </c>
      <c r="N54" s="219">
        <f t="shared" si="7"/>
        <v>129.35999999999999</v>
      </c>
      <c r="O54" s="31" t="s">
        <v>99</v>
      </c>
      <c r="P54" s="31"/>
      <c r="Q54" s="504" t="s">
        <v>221</v>
      </c>
      <c r="R54" s="494"/>
    </row>
    <row r="55" spans="1:18" ht="78.75" customHeight="1">
      <c r="A55" s="487"/>
      <c r="B55" s="503"/>
      <c r="C55" s="25"/>
      <c r="D55" s="206">
        <v>0</v>
      </c>
      <c r="E55" s="206"/>
      <c r="F55" s="206"/>
      <c r="G55" s="219">
        <v>0</v>
      </c>
      <c r="H55" s="206"/>
      <c r="I55" s="206"/>
      <c r="J55" s="219">
        <v>0</v>
      </c>
      <c r="K55" s="219"/>
      <c r="L55" s="219">
        <f>23897.392-32.04</f>
        <v>23865.351999999999</v>
      </c>
      <c r="M55" s="219">
        <f>97318.53-97.32</f>
        <v>97221.209999999992</v>
      </c>
      <c r="N55" s="219">
        <f>D55+G55+J55+L55+M55</f>
        <v>121086.56199999999</v>
      </c>
      <c r="O55" s="31" t="s">
        <v>133</v>
      </c>
      <c r="P55" s="31"/>
      <c r="Q55" s="492"/>
      <c r="R55" s="494"/>
    </row>
    <row r="56" spans="1:18" s="272" customFormat="1" ht="40.5" customHeight="1">
      <c r="A56" s="241"/>
      <c r="B56" s="10" t="s">
        <v>20</v>
      </c>
      <c r="C56" s="37" t="e">
        <f>C17+#REF!+C47+C50+C53+C54</f>
        <v>#REF!</v>
      </c>
      <c r="D56" s="206">
        <f>D17+D35+D47+D50+D53</f>
        <v>120970.09999999999</v>
      </c>
      <c r="E56" s="206" t="e">
        <f>E17+#REF!+E47+E50+E53</f>
        <v>#REF!</v>
      </c>
      <c r="F56" s="206" t="e">
        <f>F17+#REF!+F47+F50+F53</f>
        <v>#REF!</v>
      </c>
      <c r="G56" s="219">
        <v>62273.241000000002</v>
      </c>
      <c r="H56" s="206" t="e">
        <f>H17+#REF!+H47+H50+H53</f>
        <v>#REF!</v>
      </c>
      <c r="I56" s="206" t="e">
        <f>I17+#REF!+I47+I50+I53</f>
        <v>#REF!</v>
      </c>
      <c r="J56" s="219">
        <f>J17+J47+J50+J52</f>
        <v>48378.549999999996</v>
      </c>
      <c r="K56" s="219">
        <f>K17+K47+K50+K52</f>
        <v>5484</v>
      </c>
      <c r="L56" s="219">
        <f>L17+L47+L50+L54</f>
        <v>43251.14</v>
      </c>
      <c r="M56" s="219">
        <f>M17+M47+M50+M54</f>
        <v>43316.52</v>
      </c>
      <c r="N56" s="219">
        <f>D56+G56+J56+L56+M56</f>
        <v>318189.55099999998</v>
      </c>
      <c r="O56" s="241"/>
      <c r="P56" s="271"/>
      <c r="Q56" s="271"/>
      <c r="R56" s="45"/>
    </row>
    <row r="57" spans="1:18" s="272" customFormat="1" ht="53.25" customHeight="1">
      <c r="A57" s="273"/>
      <c r="B57" s="31" t="s">
        <v>21</v>
      </c>
      <c r="C57" s="37" t="e">
        <f>C18+C51+#REF!</f>
        <v>#REF!</v>
      </c>
      <c r="D57" s="206">
        <f>D18+D51+D36</f>
        <v>43810.9</v>
      </c>
      <c r="E57" s="206" t="e">
        <f>E18+E51+#REF!</f>
        <v>#REF!</v>
      </c>
      <c r="F57" s="206" t="e">
        <f>F18+F51+#REF!</f>
        <v>#REF!</v>
      </c>
      <c r="G57" s="219">
        <v>3584.7</v>
      </c>
      <c r="H57" s="206" t="e">
        <f>H18+H51+#REF!</f>
        <v>#REF!</v>
      </c>
      <c r="I57" s="206" t="e">
        <f>I18+I51+#REF!</f>
        <v>#REF!</v>
      </c>
      <c r="J57" s="219">
        <f>J18</f>
        <v>3426.4532799999997</v>
      </c>
      <c r="K57" s="219">
        <f>K18</f>
        <v>841.95327999999995</v>
      </c>
      <c r="L57" s="219">
        <f>L18+L55</f>
        <v>26530.3295</v>
      </c>
      <c r="M57" s="219">
        <f>M18+M55</f>
        <v>99886.187499999985</v>
      </c>
      <c r="N57" s="219">
        <f t="shared" ref="N57:N59" si="15">D57+G57+J57+L57+M57</f>
        <v>177238.57027999999</v>
      </c>
      <c r="O57" s="241"/>
      <c r="P57" s="271"/>
      <c r="Q57" s="271"/>
      <c r="R57" s="274"/>
    </row>
    <row r="58" spans="1:18" s="272" customFormat="1" ht="45" customHeight="1">
      <c r="A58" s="241"/>
      <c r="B58" s="31" t="s">
        <v>9</v>
      </c>
      <c r="C58" s="37" t="e">
        <f>#REF!</f>
        <v>#REF!</v>
      </c>
      <c r="D58" s="206">
        <f>D37</f>
        <v>6692.4</v>
      </c>
      <c r="E58" s="206" t="e">
        <f>#REF!</f>
        <v>#REF!</v>
      </c>
      <c r="F58" s="206" t="e">
        <f>#REF!</f>
        <v>#REF!</v>
      </c>
      <c r="G58" s="219">
        <v>2257.1999999999998</v>
      </c>
      <c r="H58" s="206" t="e">
        <f>#REF!</f>
        <v>#REF!</v>
      </c>
      <c r="I58" s="206" t="e">
        <f>#REF!</f>
        <v>#REF!</v>
      </c>
      <c r="J58" s="219">
        <f>J19</f>
        <v>2699.7777799999999</v>
      </c>
      <c r="K58" s="219">
        <f>K19</f>
        <v>0</v>
      </c>
      <c r="L58" s="219">
        <f>L19</f>
        <v>0</v>
      </c>
      <c r="M58" s="219">
        <f>M19</f>
        <v>0</v>
      </c>
      <c r="N58" s="219">
        <f t="shared" si="15"/>
        <v>11649.377779999999</v>
      </c>
      <c r="O58" s="241"/>
      <c r="P58" s="271"/>
      <c r="Q58" s="271"/>
      <c r="R58" s="241"/>
    </row>
    <row r="59" spans="1:18" s="272" customFormat="1" ht="53.25" customHeight="1">
      <c r="A59" s="241"/>
      <c r="B59" s="10" t="s">
        <v>22</v>
      </c>
      <c r="C59" s="37" t="e">
        <f>C56+C57+C58</f>
        <v>#REF!</v>
      </c>
      <c r="D59" s="206">
        <f t="shared" ref="D59:H59" si="16">D56+D57+D58</f>
        <v>171473.4</v>
      </c>
      <c r="E59" s="206" t="e">
        <f t="shared" si="16"/>
        <v>#REF!</v>
      </c>
      <c r="F59" s="206" t="e">
        <f t="shared" si="16"/>
        <v>#REF!</v>
      </c>
      <c r="G59" s="219">
        <f>G56+G57+G58</f>
        <v>68115.141000000003</v>
      </c>
      <c r="H59" s="206" t="e">
        <f t="shared" si="16"/>
        <v>#REF!</v>
      </c>
      <c r="I59" s="206" t="e">
        <f>I56+I57+I58</f>
        <v>#REF!</v>
      </c>
      <c r="J59" s="219">
        <f>J56+J57+J58</f>
        <v>54504.781059999994</v>
      </c>
      <c r="K59" s="219">
        <f t="shared" ref="K59:M59" si="17">K56+K57+K58</f>
        <v>6325.9532799999997</v>
      </c>
      <c r="L59" s="219">
        <f t="shared" si="17"/>
        <v>69781.469500000007</v>
      </c>
      <c r="M59" s="219">
        <f t="shared" si="17"/>
        <v>143202.70749999999</v>
      </c>
      <c r="N59" s="219">
        <f t="shared" si="15"/>
        <v>507077.49905999994</v>
      </c>
      <c r="O59" s="239"/>
      <c r="P59" s="274"/>
      <c r="Q59" s="274"/>
      <c r="R59" s="275"/>
    </row>
    <row r="60" spans="1:18" s="272" customFormat="1" ht="51.75" hidden="1" customHeight="1">
      <c r="A60" s="241"/>
      <c r="B60" s="10" t="s">
        <v>205</v>
      </c>
      <c r="C60" s="37"/>
      <c r="D60" s="206">
        <v>171473.4</v>
      </c>
      <c r="E60" s="206"/>
      <c r="F60" s="206"/>
      <c r="G60" s="206">
        <v>89438.2</v>
      </c>
      <c r="H60" s="206"/>
      <c r="I60" s="206"/>
      <c r="J60" s="206">
        <v>54504.781060000001</v>
      </c>
      <c r="K60" s="206"/>
      <c r="L60" s="206">
        <v>69781.469500000007</v>
      </c>
      <c r="M60" s="206">
        <v>143202.70749999999</v>
      </c>
      <c r="N60" s="206"/>
      <c r="O60" s="239"/>
      <c r="P60" s="274"/>
      <c r="Q60" s="274"/>
      <c r="R60" s="275"/>
    </row>
    <row r="61" spans="1:18" s="272" customFormat="1" ht="51.75" hidden="1" customHeight="1">
      <c r="A61" s="241"/>
      <c r="B61" s="10" t="s">
        <v>132</v>
      </c>
      <c r="C61" s="37"/>
      <c r="D61" s="206">
        <f>D60-D59</f>
        <v>0</v>
      </c>
      <c r="E61" s="206"/>
      <c r="F61" s="206"/>
      <c r="G61" s="206">
        <f>G60-G59</f>
        <v>21323.058999999994</v>
      </c>
      <c r="H61" s="206"/>
      <c r="I61" s="206"/>
      <c r="J61" s="206">
        <f t="shared" ref="J61" si="18">J60-J59</f>
        <v>0</v>
      </c>
      <c r="K61" s="206"/>
      <c r="L61" s="206">
        <f>L60-L59</f>
        <v>0</v>
      </c>
      <c r="M61" s="206">
        <f>M60-M59</f>
        <v>0</v>
      </c>
      <c r="N61" s="206"/>
      <c r="O61" s="239"/>
      <c r="P61" s="274"/>
      <c r="Q61" s="274"/>
      <c r="R61" s="275"/>
    </row>
    <row r="62" spans="1:18" s="259" customFormat="1" ht="58.5" customHeight="1">
      <c r="A62" s="496" t="s">
        <v>23</v>
      </c>
      <c r="B62" s="496"/>
      <c r="C62" s="496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6"/>
      <c r="P62" s="496"/>
      <c r="Q62" s="496"/>
      <c r="R62" s="496"/>
    </row>
    <row r="63" spans="1:18" s="276" customFormat="1" ht="70.5" customHeight="1">
      <c r="A63" s="493" t="s">
        <v>56</v>
      </c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3"/>
      <c r="M63" s="493"/>
      <c r="N63" s="493"/>
      <c r="O63" s="493"/>
      <c r="P63" s="493"/>
      <c r="Q63" s="493"/>
      <c r="R63" s="494" t="s">
        <v>122</v>
      </c>
    </row>
    <row r="64" spans="1:18" s="276" customFormat="1" ht="47.25" customHeight="1">
      <c r="A64" s="495" t="s">
        <v>50</v>
      </c>
      <c r="B64" s="495"/>
      <c r="C64" s="495"/>
      <c r="D64" s="495"/>
      <c r="E64" s="495"/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5"/>
      <c r="R64" s="494"/>
    </row>
    <row r="65" spans="1:18" ht="102.75" customHeight="1">
      <c r="A65" s="10">
        <v>6</v>
      </c>
      <c r="B65" s="31" t="s">
        <v>34</v>
      </c>
      <c r="C65" s="46">
        <f>C66+C67+C68+C69+C70+C71+C72+C73+C74+C75+C76+C77+C78+C79+C80+C81+C82+C83+C84</f>
        <v>392936.81</v>
      </c>
      <c r="D65" s="206">
        <f>D66+D67+D68+D69+D70+D71+D72+D73+D74+D75+D76+D77+D78+D79+D80+D81+D82+D83+D84</f>
        <v>431644.31</v>
      </c>
      <c r="E65" s="206">
        <f>D65-C65</f>
        <v>38707.5</v>
      </c>
      <c r="F65" s="206">
        <f>F91</f>
        <v>225157.4</v>
      </c>
      <c r="G65" s="219">
        <f>G66+G67+G68+G69+G70+G71+G72+G73+G74+G75+G76+G77+G78+G79+G80+G82+G83+G81+G84+G85+G86+G87+G88</f>
        <v>597252.60576000006</v>
      </c>
      <c r="H65" s="206">
        <f>H91</f>
        <v>477459.15575999999</v>
      </c>
      <c r="I65" s="206">
        <f>I91</f>
        <v>225157.4</v>
      </c>
      <c r="J65" s="219">
        <f>J66+J67+J68+J69+J70+J71+J72+J73+J74+J75+J76+J77+J78+J79+J80+J81+J82+J83+J84+J85+J86+J87+J88</f>
        <v>355379.01821000001</v>
      </c>
      <c r="K65" s="219">
        <f t="shared" ref="K65:M65" si="19">K66+K67+K68+K69+K70+K71+K72+K73+K74+K75+K76+K77+K78+K79+K80+K81+K82+K83+K84+K85+K86+K87+K88</f>
        <v>129261.99821000006</v>
      </c>
      <c r="L65" s="219">
        <f t="shared" si="19"/>
        <v>301362.49999999994</v>
      </c>
      <c r="M65" s="219">
        <f t="shared" si="19"/>
        <v>301362.49999999994</v>
      </c>
      <c r="N65" s="219">
        <f>D65+G65+J65+L65+M65</f>
        <v>1987000.9339700001</v>
      </c>
      <c r="O65" s="31"/>
      <c r="P65" s="31"/>
      <c r="Q65" s="31" t="s">
        <v>159</v>
      </c>
      <c r="R65" s="494"/>
    </row>
    <row r="66" spans="1:18" ht="85.5" customHeight="1">
      <c r="A66" s="265" t="s">
        <v>145</v>
      </c>
      <c r="B66" s="31" t="s">
        <v>168</v>
      </c>
      <c r="C66" s="46">
        <f>280315.1-C69</f>
        <v>265773.09999999998</v>
      </c>
      <c r="D66" s="206">
        <f>431644.31-149979.36</f>
        <v>281664.95</v>
      </c>
      <c r="E66" s="206">
        <f>D66-C66</f>
        <v>15891.850000000035</v>
      </c>
      <c r="F66" s="206">
        <f>207874.7-F69</f>
        <v>195457</v>
      </c>
      <c r="G66" s="219">
        <v>288637.95</v>
      </c>
      <c r="H66" s="206">
        <f>207874.7-H69</f>
        <v>198544.90000000002</v>
      </c>
      <c r="I66" s="206">
        <f>207874.7-I69</f>
        <v>195457</v>
      </c>
      <c r="J66" s="219">
        <f>274810.28+135.732</f>
        <v>274946.01200000005</v>
      </c>
      <c r="K66" s="219">
        <f t="shared" ref="K66:K82" si="20">J66-I66</f>
        <v>79489.012000000046</v>
      </c>
      <c r="L66" s="219">
        <v>266364.5</v>
      </c>
      <c r="M66" s="219">
        <v>266364.5</v>
      </c>
      <c r="N66" s="219">
        <f t="shared" ref="N66:N98" si="21">D66+G66+J66+L66+M66</f>
        <v>1377977.912</v>
      </c>
      <c r="O66" s="31" t="s">
        <v>12</v>
      </c>
      <c r="P66" s="31" t="s">
        <v>129</v>
      </c>
      <c r="Q66" s="31"/>
      <c r="R66" s="494"/>
    </row>
    <row r="67" spans="1:18" ht="69" customHeight="1">
      <c r="A67" s="265" t="s">
        <v>146</v>
      </c>
      <c r="B67" s="31" t="s">
        <v>35</v>
      </c>
      <c r="C67" s="46">
        <v>87783.58</v>
      </c>
      <c r="D67" s="206">
        <v>107807.03</v>
      </c>
      <c r="E67" s="206">
        <f t="shared" ref="E67:E91" si="22">D67-C67</f>
        <v>20023.449999999997</v>
      </c>
      <c r="F67" s="206">
        <v>4172.5</v>
      </c>
      <c r="G67" s="219">
        <v>167317.48965999999</v>
      </c>
      <c r="H67" s="206">
        <f>G67-F67</f>
        <v>163144.98965999999</v>
      </c>
      <c r="I67" s="206">
        <v>4172.5</v>
      </c>
      <c r="J67" s="219">
        <v>32270.560310000001</v>
      </c>
      <c r="K67" s="219">
        <f t="shared" si="20"/>
        <v>28098.060310000001</v>
      </c>
      <c r="L67" s="219">
        <v>0</v>
      </c>
      <c r="M67" s="219">
        <v>0</v>
      </c>
      <c r="N67" s="219">
        <f t="shared" si="21"/>
        <v>307395.07996999996</v>
      </c>
      <c r="O67" s="31" t="s">
        <v>12</v>
      </c>
      <c r="P67" s="31" t="s">
        <v>138</v>
      </c>
      <c r="Q67" s="31"/>
      <c r="R67" s="494"/>
    </row>
    <row r="68" spans="1:18" ht="142.5" customHeight="1">
      <c r="A68" s="265" t="s">
        <v>147</v>
      </c>
      <c r="B68" s="31" t="s">
        <v>169</v>
      </c>
      <c r="C68" s="46">
        <v>3000</v>
      </c>
      <c r="D68" s="206">
        <v>3000</v>
      </c>
      <c r="E68" s="206">
        <f t="shared" si="22"/>
        <v>0</v>
      </c>
      <c r="F68" s="206">
        <v>4500</v>
      </c>
      <c r="G68" s="219">
        <v>3600</v>
      </c>
      <c r="H68" s="206">
        <f t="shared" ref="H68:H71" si="23">G68-F68</f>
        <v>-900</v>
      </c>
      <c r="I68" s="206">
        <v>4500</v>
      </c>
      <c r="J68" s="219">
        <v>0</v>
      </c>
      <c r="K68" s="219">
        <f>J68-I68</f>
        <v>-4500</v>
      </c>
      <c r="L68" s="219">
        <v>0</v>
      </c>
      <c r="M68" s="219">
        <v>0</v>
      </c>
      <c r="N68" s="219">
        <f t="shared" si="21"/>
        <v>6600</v>
      </c>
      <c r="O68" s="31" t="s">
        <v>12</v>
      </c>
      <c r="P68" s="31"/>
      <c r="Q68" s="31"/>
      <c r="R68" s="494"/>
    </row>
    <row r="69" spans="1:18" ht="55.5" customHeight="1">
      <c r="A69" s="265" t="s">
        <v>148</v>
      </c>
      <c r="B69" s="31" t="s">
        <v>170</v>
      </c>
      <c r="C69" s="28">
        <v>14542</v>
      </c>
      <c r="D69" s="206">
        <v>15347.3</v>
      </c>
      <c r="E69" s="206">
        <f t="shared" si="22"/>
        <v>805.29999999999927</v>
      </c>
      <c r="F69" s="206">
        <v>12417.7</v>
      </c>
      <c r="G69" s="219">
        <v>21747.5</v>
      </c>
      <c r="H69" s="206">
        <f t="shared" si="23"/>
        <v>9329.7999999999993</v>
      </c>
      <c r="I69" s="206">
        <v>12417.7</v>
      </c>
      <c r="J69" s="219">
        <v>24787.01</v>
      </c>
      <c r="K69" s="219">
        <f>J69-I69</f>
        <v>12369.309999999998</v>
      </c>
      <c r="L69" s="219">
        <v>21747.5</v>
      </c>
      <c r="M69" s="219">
        <v>21747.5</v>
      </c>
      <c r="N69" s="219">
        <f t="shared" si="21"/>
        <v>105376.81</v>
      </c>
      <c r="O69" s="31" t="s">
        <v>12</v>
      </c>
      <c r="P69" s="31" t="s">
        <v>139</v>
      </c>
      <c r="Q69" s="31"/>
      <c r="R69" s="494"/>
    </row>
    <row r="70" spans="1:18" ht="105.75" customHeight="1">
      <c r="A70" s="265" t="s">
        <v>149</v>
      </c>
      <c r="B70" s="31" t="s">
        <v>171</v>
      </c>
      <c r="C70" s="46">
        <v>13204.93</v>
      </c>
      <c r="D70" s="206">
        <v>14801.83</v>
      </c>
      <c r="E70" s="206">
        <f t="shared" si="22"/>
        <v>1596.8999999999996</v>
      </c>
      <c r="F70" s="206">
        <f>'не актуально .'!F75</f>
        <v>0</v>
      </c>
      <c r="G70" s="219">
        <v>102885.9071</v>
      </c>
      <c r="H70" s="206">
        <f t="shared" si="23"/>
        <v>102885.9071</v>
      </c>
      <c r="I70" s="206">
        <f>'не актуально .'!I75</f>
        <v>0</v>
      </c>
      <c r="J70" s="219">
        <v>8636.3459000000003</v>
      </c>
      <c r="K70" s="219">
        <f t="shared" si="20"/>
        <v>8636.3459000000003</v>
      </c>
      <c r="L70" s="219">
        <v>0</v>
      </c>
      <c r="M70" s="219"/>
      <c r="N70" s="219">
        <f t="shared" si="21"/>
        <v>126324.083</v>
      </c>
      <c r="O70" s="31" t="s">
        <v>12</v>
      </c>
      <c r="P70" s="31" t="s">
        <v>140</v>
      </c>
      <c r="Q70" s="31"/>
      <c r="R70" s="494"/>
    </row>
    <row r="71" spans="1:18" ht="36" customHeight="1">
      <c r="A71" s="486" t="s">
        <v>150</v>
      </c>
      <c r="B71" s="490" t="s">
        <v>183</v>
      </c>
      <c r="C71" s="46">
        <v>100</v>
      </c>
      <c r="D71" s="206">
        <v>100</v>
      </c>
      <c r="E71" s="206">
        <f t="shared" si="22"/>
        <v>0</v>
      </c>
      <c r="F71" s="206">
        <v>100</v>
      </c>
      <c r="G71" s="219">
        <v>1921.5</v>
      </c>
      <c r="H71" s="206">
        <f t="shared" si="23"/>
        <v>1821.5</v>
      </c>
      <c r="I71" s="206">
        <v>100</v>
      </c>
      <c r="J71" s="219">
        <v>2101.35</v>
      </c>
      <c r="K71" s="219">
        <f t="shared" si="20"/>
        <v>2001.35</v>
      </c>
      <c r="L71" s="219">
        <v>5</v>
      </c>
      <c r="M71" s="219">
        <v>5</v>
      </c>
      <c r="N71" s="219">
        <f t="shared" si="21"/>
        <v>4132.8500000000004</v>
      </c>
      <c r="O71" s="31" t="s">
        <v>12</v>
      </c>
      <c r="P71" s="31"/>
      <c r="Q71" s="31"/>
      <c r="R71" s="494"/>
    </row>
    <row r="72" spans="1:18" ht="59.25" customHeight="1">
      <c r="A72" s="487"/>
      <c r="B72" s="490"/>
      <c r="C72" s="46">
        <v>2355</v>
      </c>
      <c r="D72" s="206">
        <v>2745</v>
      </c>
      <c r="E72" s="206">
        <f t="shared" si="22"/>
        <v>390</v>
      </c>
      <c r="F72" s="206">
        <v>2355</v>
      </c>
      <c r="G72" s="219">
        <v>4689.8999999999996</v>
      </c>
      <c r="H72" s="206">
        <f>G72-F72</f>
        <v>2334.8999999999996</v>
      </c>
      <c r="I72" s="206">
        <v>2355</v>
      </c>
      <c r="J72" s="219">
        <v>4643.25</v>
      </c>
      <c r="K72" s="219">
        <f t="shared" si="20"/>
        <v>2288.25</v>
      </c>
      <c r="L72" s="219">
        <v>4643.25</v>
      </c>
      <c r="M72" s="219">
        <v>4643.25</v>
      </c>
      <c r="N72" s="219">
        <f t="shared" si="21"/>
        <v>21364.65</v>
      </c>
      <c r="O72" s="31" t="s">
        <v>8</v>
      </c>
      <c r="P72" s="31" t="s">
        <v>141</v>
      </c>
      <c r="Q72" s="31"/>
      <c r="R72" s="494"/>
    </row>
    <row r="73" spans="1:18" ht="37.5" customHeight="1">
      <c r="A73" s="486" t="s">
        <v>151</v>
      </c>
      <c r="B73" s="490" t="s">
        <v>172</v>
      </c>
      <c r="C73" s="46">
        <v>352.2</v>
      </c>
      <c r="D73" s="206">
        <v>352.2</v>
      </c>
      <c r="E73" s="206">
        <f t="shared" si="22"/>
        <v>0</v>
      </c>
      <c r="F73" s="206">
        <v>352.2</v>
      </c>
      <c r="G73" s="219">
        <v>352.2</v>
      </c>
      <c r="H73" s="206">
        <f t="shared" ref="H73:H88" si="24">G73-F73</f>
        <v>0</v>
      </c>
      <c r="I73" s="206">
        <v>352.2</v>
      </c>
      <c r="J73" s="219">
        <v>831.4</v>
      </c>
      <c r="K73" s="219">
        <f t="shared" si="20"/>
        <v>479.2</v>
      </c>
      <c r="L73" s="219">
        <f>J73</f>
        <v>831.4</v>
      </c>
      <c r="M73" s="219">
        <f>L73</f>
        <v>831.4</v>
      </c>
      <c r="N73" s="219">
        <f t="shared" si="21"/>
        <v>3198.6</v>
      </c>
      <c r="O73" s="31" t="s">
        <v>12</v>
      </c>
      <c r="P73" s="31"/>
      <c r="Q73" s="31"/>
      <c r="R73" s="494"/>
    </row>
    <row r="74" spans="1:18" ht="64.5" customHeight="1">
      <c r="A74" s="487"/>
      <c r="B74" s="490"/>
      <c r="C74" s="46">
        <v>1761</v>
      </c>
      <c r="D74" s="206">
        <v>1761</v>
      </c>
      <c r="E74" s="206">
        <f t="shared" si="22"/>
        <v>0</v>
      </c>
      <c r="F74" s="206">
        <v>1761</v>
      </c>
      <c r="G74" s="219">
        <v>1804</v>
      </c>
      <c r="H74" s="206">
        <f t="shared" si="24"/>
        <v>43</v>
      </c>
      <c r="I74" s="206">
        <v>1761</v>
      </c>
      <c r="J74" s="219">
        <v>2485.4499999999998</v>
      </c>
      <c r="K74" s="219">
        <f t="shared" si="20"/>
        <v>724.44999999999982</v>
      </c>
      <c r="L74" s="219">
        <v>2485.4499999999998</v>
      </c>
      <c r="M74" s="219">
        <v>2485.4499999999998</v>
      </c>
      <c r="N74" s="219">
        <f t="shared" si="21"/>
        <v>11021.349999999999</v>
      </c>
      <c r="O74" s="31" t="s">
        <v>8</v>
      </c>
      <c r="P74" s="31"/>
      <c r="Q74" s="31"/>
      <c r="R74" s="494"/>
    </row>
    <row r="75" spans="1:18" ht="47.25" customHeight="1">
      <c r="A75" s="486" t="s">
        <v>152</v>
      </c>
      <c r="B75" s="490" t="s">
        <v>158</v>
      </c>
      <c r="C75" s="46">
        <v>117.4</v>
      </c>
      <c r="D75" s="206">
        <v>117.4</v>
      </c>
      <c r="E75" s="206">
        <f t="shared" si="22"/>
        <v>0</v>
      </c>
      <c r="F75" s="206">
        <v>117.4</v>
      </c>
      <c r="G75" s="219">
        <v>117.4</v>
      </c>
      <c r="H75" s="206">
        <f t="shared" si="24"/>
        <v>0</v>
      </c>
      <c r="I75" s="206">
        <v>117.4</v>
      </c>
      <c r="J75" s="219">
        <v>69.150000000000006</v>
      </c>
      <c r="K75" s="219">
        <f t="shared" si="20"/>
        <v>-48.25</v>
      </c>
      <c r="L75" s="219">
        <v>69.150000000000006</v>
      </c>
      <c r="M75" s="219">
        <v>69.150000000000006</v>
      </c>
      <c r="N75" s="219">
        <f>D75+G75+J75+L75+M75</f>
        <v>442.25</v>
      </c>
      <c r="O75" s="31" t="s">
        <v>12</v>
      </c>
      <c r="P75" s="31"/>
      <c r="Q75" s="31"/>
      <c r="R75" s="494"/>
    </row>
    <row r="76" spans="1:18" ht="84.75" customHeight="1">
      <c r="A76" s="487"/>
      <c r="B76" s="491"/>
      <c r="C76" s="46">
        <v>528.29999999999995</v>
      </c>
      <c r="D76" s="206">
        <v>528.29999999999995</v>
      </c>
      <c r="E76" s="206">
        <f t="shared" si="22"/>
        <v>0</v>
      </c>
      <c r="F76" s="206">
        <v>528.29999999999995</v>
      </c>
      <c r="G76" s="219">
        <v>631.4</v>
      </c>
      <c r="H76" s="206">
        <f t="shared" si="24"/>
        <v>103.10000000000002</v>
      </c>
      <c r="I76" s="206">
        <v>528.29999999999995</v>
      </c>
      <c r="J76" s="219">
        <v>207.12</v>
      </c>
      <c r="K76" s="219">
        <f t="shared" si="20"/>
        <v>-321.17999999999995</v>
      </c>
      <c r="L76" s="219">
        <v>207.12</v>
      </c>
      <c r="M76" s="219">
        <v>207.12</v>
      </c>
      <c r="N76" s="219">
        <f t="shared" si="21"/>
        <v>1781.0599999999995</v>
      </c>
      <c r="O76" s="31" t="s">
        <v>8</v>
      </c>
      <c r="P76" s="31"/>
      <c r="Q76" s="31"/>
      <c r="R76" s="494"/>
    </row>
    <row r="77" spans="1:18" ht="47.25" customHeight="1">
      <c r="A77" s="486" t="s">
        <v>153</v>
      </c>
      <c r="B77" s="490" t="s">
        <v>167</v>
      </c>
      <c r="C77" s="46">
        <v>293.5</v>
      </c>
      <c r="D77" s="206">
        <v>293.5</v>
      </c>
      <c r="E77" s="206">
        <f t="shared" si="22"/>
        <v>0</v>
      </c>
      <c r="F77" s="206">
        <v>293.5</v>
      </c>
      <c r="G77" s="219">
        <v>293.5</v>
      </c>
      <c r="H77" s="206">
        <f t="shared" si="24"/>
        <v>0</v>
      </c>
      <c r="I77" s="206">
        <v>293.5</v>
      </c>
      <c r="J77" s="219">
        <v>276.55</v>
      </c>
      <c r="K77" s="219">
        <f t="shared" si="20"/>
        <v>-16.949999999999989</v>
      </c>
      <c r="L77" s="219">
        <v>276.55</v>
      </c>
      <c r="M77" s="219">
        <v>276.55</v>
      </c>
      <c r="N77" s="219">
        <f t="shared" si="21"/>
        <v>1416.6499999999999</v>
      </c>
      <c r="O77" s="31" t="s">
        <v>12</v>
      </c>
      <c r="P77" s="31"/>
      <c r="Q77" s="31"/>
      <c r="R77" s="494"/>
    </row>
    <row r="78" spans="1:18" ht="62.25" customHeight="1">
      <c r="A78" s="487"/>
      <c r="B78" s="491"/>
      <c r="C78" s="46">
        <v>880.5</v>
      </c>
      <c r="D78" s="206">
        <v>880.5</v>
      </c>
      <c r="E78" s="206">
        <f t="shared" si="22"/>
        <v>0</v>
      </c>
      <c r="F78" s="206">
        <v>880.5</v>
      </c>
      <c r="G78" s="219">
        <v>902</v>
      </c>
      <c r="H78" s="206">
        <f t="shared" si="24"/>
        <v>21.5</v>
      </c>
      <c r="I78" s="206">
        <v>880.5</v>
      </c>
      <c r="J78" s="219">
        <v>828.48</v>
      </c>
      <c r="K78" s="219">
        <f t="shared" si="20"/>
        <v>-52.019999999999982</v>
      </c>
      <c r="L78" s="219">
        <v>828.48</v>
      </c>
      <c r="M78" s="219">
        <v>828.48</v>
      </c>
      <c r="N78" s="219">
        <f t="shared" si="21"/>
        <v>4267.9400000000005</v>
      </c>
      <c r="O78" s="31" t="s">
        <v>8</v>
      </c>
      <c r="P78" s="31"/>
      <c r="Q78" s="31"/>
      <c r="R78" s="494"/>
    </row>
    <row r="79" spans="1:18" ht="47.25" customHeight="1">
      <c r="A79" s="486" t="s">
        <v>154</v>
      </c>
      <c r="B79" s="490" t="s">
        <v>173</v>
      </c>
      <c r="C79" s="46">
        <v>234.8</v>
      </c>
      <c r="D79" s="206">
        <v>234.8</v>
      </c>
      <c r="E79" s="206">
        <f t="shared" si="22"/>
        <v>0</v>
      </c>
      <c r="F79" s="206">
        <v>234.8</v>
      </c>
      <c r="G79" s="219">
        <v>234.8</v>
      </c>
      <c r="H79" s="206">
        <f t="shared" si="24"/>
        <v>0</v>
      </c>
      <c r="I79" s="206">
        <v>234.8</v>
      </c>
      <c r="J79" s="219">
        <v>414.55</v>
      </c>
      <c r="K79" s="219">
        <f t="shared" si="20"/>
        <v>179.75</v>
      </c>
      <c r="L79" s="219">
        <v>414.55</v>
      </c>
      <c r="M79" s="219">
        <v>414.55</v>
      </c>
      <c r="N79" s="219">
        <f t="shared" si="21"/>
        <v>1713.25</v>
      </c>
      <c r="O79" s="31" t="s">
        <v>12</v>
      </c>
      <c r="P79" s="31"/>
      <c r="Q79" s="31"/>
      <c r="R79" s="494"/>
    </row>
    <row r="80" spans="1:18" ht="86.25" customHeight="1">
      <c r="A80" s="487"/>
      <c r="B80" s="490"/>
      <c r="C80" s="46">
        <v>1584.9</v>
      </c>
      <c r="D80" s="206">
        <v>1584.9</v>
      </c>
      <c r="E80" s="206">
        <f t="shared" si="22"/>
        <v>0</v>
      </c>
      <c r="F80" s="206">
        <v>1584.9</v>
      </c>
      <c r="G80" s="219">
        <v>721.6</v>
      </c>
      <c r="H80" s="206">
        <f t="shared" si="24"/>
        <v>-863.30000000000007</v>
      </c>
      <c r="I80" s="206">
        <v>1584.9</v>
      </c>
      <c r="J80" s="219">
        <v>1242.73</v>
      </c>
      <c r="K80" s="219">
        <f t="shared" si="20"/>
        <v>-342.17000000000007</v>
      </c>
      <c r="L80" s="219">
        <v>1242.73</v>
      </c>
      <c r="M80" s="219">
        <v>1242.73</v>
      </c>
      <c r="N80" s="219">
        <f t="shared" si="21"/>
        <v>6034.6900000000005</v>
      </c>
      <c r="O80" s="31" t="s">
        <v>8</v>
      </c>
      <c r="P80" s="31"/>
      <c r="Q80" s="31"/>
      <c r="R80" s="494"/>
    </row>
    <row r="81" spans="1:18" ht="36" customHeight="1">
      <c r="A81" s="486" t="s">
        <v>155</v>
      </c>
      <c r="B81" s="490" t="s">
        <v>174</v>
      </c>
      <c r="C81" s="46">
        <v>10</v>
      </c>
      <c r="D81" s="206">
        <v>10</v>
      </c>
      <c r="E81" s="206">
        <f t="shared" si="22"/>
        <v>0</v>
      </c>
      <c r="F81" s="206">
        <v>10</v>
      </c>
      <c r="G81" s="219">
        <v>16.5</v>
      </c>
      <c r="H81" s="206">
        <f t="shared" si="24"/>
        <v>6.5</v>
      </c>
      <c r="I81" s="206">
        <v>10</v>
      </c>
      <c r="J81" s="219">
        <v>154.30000000000001</v>
      </c>
      <c r="K81" s="219">
        <f t="shared" si="20"/>
        <v>144.30000000000001</v>
      </c>
      <c r="L81" s="219">
        <v>304.3</v>
      </c>
      <c r="M81" s="219">
        <v>304.3</v>
      </c>
      <c r="N81" s="219">
        <f t="shared" si="21"/>
        <v>789.40000000000009</v>
      </c>
      <c r="O81" s="31" t="s">
        <v>12</v>
      </c>
      <c r="P81" s="31"/>
      <c r="Q81" s="31"/>
      <c r="R81" s="494"/>
    </row>
    <row r="82" spans="1:18" ht="43.5" customHeight="1">
      <c r="A82" s="487"/>
      <c r="B82" s="492"/>
      <c r="C82" s="46">
        <v>322.60000000000002</v>
      </c>
      <c r="D82" s="206">
        <v>322.60000000000002</v>
      </c>
      <c r="E82" s="206">
        <f t="shared" si="22"/>
        <v>0</v>
      </c>
      <c r="F82" s="206">
        <v>322.60000000000002</v>
      </c>
      <c r="G82" s="219">
        <v>912.8</v>
      </c>
      <c r="H82" s="206">
        <f t="shared" si="24"/>
        <v>590.19999999999993</v>
      </c>
      <c r="I82" s="206">
        <v>322.60000000000002</v>
      </c>
      <c r="J82" s="219">
        <v>455.04</v>
      </c>
      <c r="K82" s="219">
        <f t="shared" si="20"/>
        <v>132.44</v>
      </c>
      <c r="L82" s="219">
        <v>912.8</v>
      </c>
      <c r="M82" s="219">
        <v>912.8</v>
      </c>
      <c r="N82" s="219">
        <f t="shared" si="21"/>
        <v>3516.04</v>
      </c>
      <c r="O82" s="31" t="s">
        <v>62</v>
      </c>
      <c r="P82" s="31"/>
      <c r="Q82" s="31"/>
      <c r="R82" s="494"/>
    </row>
    <row r="83" spans="1:18" ht="47.25" customHeight="1">
      <c r="A83" s="486" t="s">
        <v>156</v>
      </c>
      <c r="B83" s="490" t="s">
        <v>175</v>
      </c>
      <c r="C83" s="46">
        <v>23</v>
      </c>
      <c r="D83" s="206">
        <v>23</v>
      </c>
      <c r="E83" s="206">
        <f t="shared" si="22"/>
        <v>0</v>
      </c>
      <c r="F83" s="206"/>
      <c r="G83" s="219">
        <v>4</v>
      </c>
      <c r="H83" s="206">
        <f t="shared" si="24"/>
        <v>4</v>
      </c>
      <c r="I83" s="206"/>
      <c r="J83" s="219">
        <v>0.1</v>
      </c>
      <c r="K83" s="219">
        <f>J83-I83</f>
        <v>0.1</v>
      </c>
      <c r="L83" s="219">
        <v>0.1</v>
      </c>
      <c r="M83" s="219">
        <v>0.1</v>
      </c>
      <c r="N83" s="219">
        <f t="shared" si="21"/>
        <v>27.300000000000004</v>
      </c>
      <c r="O83" s="31" t="s">
        <v>117</v>
      </c>
      <c r="P83" s="31"/>
      <c r="Q83" s="31"/>
      <c r="R83" s="494"/>
    </row>
    <row r="84" spans="1:18" ht="93.75" customHeight="1">
      <c r="A84" s="487"/>
      <c r="B84" s="492"/>
      <c r="C84" s="46">
        <v>70</v>
      </c>
      <c r="D84" s="206">
        <v>70</v>
      </c>
      <c r="E84" s="206">
        <f t="shared" si="22"/>
        <v>0</v>
      </c>
      <c r="F84" s="206">
        <v>70</v>
      </c>
      <c r="G84" s="219">
        <v>60</v>
      </c>
      <c r="H84" s="206">
        <f t="shared" si="24"/>
        <v>-10</v>
      </c>
      <c r="I84" s="206">
        <v>70</v>
      </c>
      <c r="J84" s="219">
        <v>70</v>
      </c>
      <c r="K84" s="219">
        <f t="shared" ref="K84:K86" si="25">J84-I84</f>
        <v>0</v>
      </c>
      <c r="L84" s="219">
        <v>70</v>
      </c>
      <c r="M84" s="219">
        <v>70</v>
      </c>
      <c r="N84" s="219">
        <f t="shared" si="21"/>
        <v>340</v>
      </c>
      <c r="O84" s="31" t="s">
        <v>62</v>
      </c>
      <c r="P84" s="31"/>
      <c r="Q84" s="31"/>
      <c r="R84" s="494"/>
    </row>
    <row r="85" spans="1:18" ht="48.75" customHeight="1">
      <c r="A85" s="486" t="s">
        <v>157</v>
      </c>
      <c r="B85" s="490" t="s">
        <v>176</v>
      </c>
      <c r="C85" s="46"/>
      <c r="D85" s="206">
        <v>0</v>
      </c>
      <c r="E85" s="206"/>
      <c r="F85" s="206"/>
      <c r="G85" s="219">
        <v>2.4</v>
      </c>
      <c r="H85" s="206">
        <f>G85-F85</f>
        <v>2.4</v>
      </c>
      <c r="I85" s="206"/>
      <c r="J85" s="219">
        <v>0</v>
      </c>
      <c r="K85" s="219">
        <f t="shared" si="25"/>
        <v>0</v>
      </c>
      <c r="L85" s="219">
        <f>J85</f>
        <v>0</v>
      </c>
      <c r="M85" s="219">
        <v>0</v>
      </c>
      <c r="N85" s="219">
        <f>D85+G85+J85+L85+M85</f>
        <v>2.4</v>
      </c>
      <c r="O85" s="31" t="s">
        <v>117</v>
      </c>
      <c r="P85" s="31"/>
      <c r="Q85" s="31"/>
      <c r="R85" s="494"/>
    </row>
    <row r="86" spans="1:18" ht="82.5" customHeight="1">
      <c r="A86" s="487"/>
      <c r="B86" s="492"/>
      <c r="C86" s="46"/>
      <c r="D86" s="206">
        <v>0</v>
      </c>
      <c r="E86" s="206"/>
      <c r="F86" s="206"/>
      <c r="G86" s="219">
        <v>240.6</v>
      </c>
      <c r="H86" s="206">
        <f t="shared" si="24"/>
        <v>240.6</v>
      </c>
      <c r="I86" s="206"/>
      <c r="J86" s="219">
        <v>0</v>
      </c>
      <c r="K86" s="219">
        <f t="shared" si="25"/>
        <v>0</v>
      </c>
      <c r="L86" s="219">
        <f>J86</f>
        <v>0</v>
      </c>
      <c r="M86" s="219">
        <v>0</v>
      </c>
      <c r="N86" s="219">
        <f t="shared" si="21"/>
        <v>240.6</v>
      </c>
      <c r="O86" s="31" t="s">
        <v>62</v>
      </c>
      <c r="P86" s="31"/>
      <c r="Q86" s="31"/>
      <c r="R86" s="494"/>
    </row>
    <row r="87" spans="1:18" ht="93" customHeight="1">
      <c r="A87" s="486" t="s">
        <v>194</v>
      </c>
      <c r="B87" s="488" t="s">
        <v>191</v>
      </c>
      <c r="C87" s="46"/>
      <c r="D87" s="206">
        <v>0</v>
      </c>
      <c r="E87" s="206"/>
      <c r="F87" s="206"/>
      <c r="G87" s="219">
        <v>0.159</v>
      </c>
      <c r="H87" s="206">
        <f t="shared" si="24"/>
        <v>0.159</v>
      </c>
      <c r="I87" s="206"/>
      <c r="J87" s="219">
        <v>245</v>
      </c>
      <c r="K87" s="219"/>
      <c r="L87" s="219">
        <v>245</v>
      </c>
      <c r="M87" s="219">
        <v>245</v>
      </c>
      <c r="N87" s="219">
        <f t="shared" si="21"/>
        <v>735.15899999999999</v>
      </c>
      <c r="O87" s="31" t="s">
        <v>117</v>
      </c>
      <c r="P87" s="31"/>
      <c r="Q87" s="31"/>
      <c r="R87" s="261"/>
    </row>
    <row r="88" spans="1:18" ht="121.5" customHeight="1">
      <c r="A88" s="487"/>
      <c r="B88" s="489"/>
      <c r="C88" s="46"/>
      <c r="D88" s="206">
        <v>0</v>
      </c>
      <c r="E88" s="206"/>
      <c r="F88" s="206"/>
      <c r="G88" s="219">
        <v>159</v>
      </c>
      <c r="H88" s="206">
        <f t="shared" si="24"/>
        <v>159</v>
      </c>
      <c r="I88" s="206"/>
      <c r="J88" s="219">
        <v>714.62</v>
      </c>
      <c r="K88" s="219"/>
      <c r="L88" s="219">
        <v>714.62</v>
      </c>
      <c r="M88" s="219">
        <f>L88</f>
        <v>714.62</v>
      </c>
      <c r="N88" s="219">
        <f t="shared" si="21"/>
        <v>2302.86</v>
      </c>
      <c r="O88" s="31" t="s">
        <v>62</v>
      </c>
      <c r="P88" s="31"/>
      <c r="Q88" s="31"/>
      <c r="R88" s="261"/>
    </row>
    <row r="89" spans="1:18" s="277" customFormat="1" ht="32.25" customHeight="1">
      <c r="A89" s="241"/>
      <c r="B89" s="10" t="s">
        <v>20</v>
      </c>
      <c r="C89" s="46">
        <f>C66+C67+C68+C69+C70+C71+C73+C75+C77+C79+C81+C83</f>
        <v>385434.51</v>
      </c>
      <c r="D89" s="206">
        <f>D66+D67+D68+D69+D70+D71+D73+D75+D77+D79+D81+D83</f>
        <v>423752.01</v>
      </c>
      <c r="E89" s="206">
        <f>D89-C89</f>
        <v>38317.5</v>
      </c>
      <c r="F89" s="206">
        <f>F66+F67+F68+F69+F70+F71+F73+F75+F77+F79+F81+F83</f>
        <v>217655.1</v>
      </c>
      <c r="G89" s="219">
        <f>G66+G67+G68+G69+G70+G71+G73+G75+G77+G79+G81+G83+G85+G87</f>
        <v>587131.30576000002</v>
      </c>
      <c r="H89" s="219">
        <f t="shared" ref="H89:I89" si="26">H66+H67+H68+H69+H70+H71+H73+H75+H77+H79+H81+H83+H85+H87</f>
        <v>474840.15575999999</v>
      </c>
      <c r="I89" s="219">
        <f t="shared" si="26"/>
        <v>217655.1</v>
      </c>
      <c r="J89" s="219">
        <f>J66+J67+J68+J69+J70+J71+J73+J75+J77+J79+J81+J83+J85+J87</f>
        <v>344732.32821000007</v>
      </c>
      <c r="K89" s="219">
        <f t="shared" ref="K89:M89" si="27">K66+K67+K68+K69+K70+K71+K73+K75+K77+K79+K81+K83+K85+K87</f>
        <v>126832.22821000006</v>
      </c>
      <c r="L89" s="219">
        <f t="shared" si="27"/>
        <v>290258.05</v>
      </c>
      <c r="M89" s="219">
        <f t="shared" si="27"/>
        <v>290258.05</v>
      </c>
      <c r="N89" s="219">
        <f t="shared" si="21"/>
        <v>1936131.7439700002</v>
      </c>
      <c r="O89" s="241"/>
      <c r="P89" s="271"/>
      <c r="Q89" s="271"/>
      <c r="R89" s="271"/>
    </row>
    <row r="90" spans="1:18" s="277" customFormat="1" ht="35.25" customHeight="1">
      <c r="A90" s="241"/>
      <c r="B90" s="31" t="s">
        <v>21</v>
      </c>
      <c r="C90" s="46">
        <f>C72+C74+C76+C78+C80+C82+C84</f>
        <v>7502.3000000000011</v>
      </c>
      <c r="D90" s="206">
        <f>D72+D74+D76+D78+D80+D82+D84</f>
        <v>7892.3000000000011</v>
      </c>
      <c r="E90" s="206">
        <f t="shared" si="22"/>
        <v>390</v>
      </c>
      <c r="F90" s="206">
        <f>F72+F74+F76+F78+F80+F82+F84</f>
        <v>7502.3000000000011</v>
      </c>
      <c r="G90" s="219">
        <f t="shared" ref="G90:I90" si="28">G72+G74+G76+G78+G80+G82+G84+G86+G88</f>
        <v>10121.299999999999</v>
      </c>
      <c r="H90" s="219">
        <f t="shared" si="28"/>
        <v>2618.9999999999991</v>
      </c>
      <c r="I90" s="219">
        <f t="shared" si="28"/>
        <v>7502.3000000000011</v>
      </c>
      <c r="J90" s="219">
        <f>J72+J74+J76+J78+J80+J82+J84+J86+J88</f>
        <v>10646.69</v>
      </c>
      <c r="K90" s="219">
        <f t="shared" ref="K90" si="29">K72+K74+K76+K78+K80+K82+K84+K86+K88</f>
        <v>2429.77</v>
      </c>
      <c r="L90" s="219">
        <f>L72+L74+L76+L78+L80+L82+L84+L86+L88</f>
        <v>11104.449999999999</v>
      </c>
      <c r="M90" s="219">
        <f>M72+M74+M76+M78+M80+M82+M84+M86+M88</f>
        <v>11104.449999999999</v>
      </c>
      <c r="N90" s="219">
        <f t="shared" si="21"/>
        <v>50869.189999999995</v>
      </c>
      <c r="O90" s="241"/>
      <c r="P90" s="271"/>
      <c r="Q90" s="274"/>
      <c r="R90" s="271"/>
    </row>
    <row r="91" spans="1:18" s="277" customFormat="1" ht="37.5" customHeight="1">
      <c r="A91" s="241"/>
      <c r="B91" s="10" t="s">
        <v>22</v>
      </c>
      <c r="C91" s="46">
        <f>C89+C90</f>
        <v>392936.81</v>
      </c>
      <c r="D91" s="206">
        <f>D89+D90</f>
        <v>431644.31</v>
      </c>
      <c r="E91" s="206">
        <f t="shared" si="22"/>
        <v>38707.5</v>
      </c>
      <c r="F91" s="206">
        <f>F89+F90</f>
        <v>225157.4</v>
      </c>
      <c r="G91" s="219">
        <f>G89+G90</f>
        <v>597252.60576000006</v>
      </c>
      <c r="H91" s="219">
        <f t="shared" ref="H91:I91" si="30">H89+H90</f>
        <v>477459.15575999999</v>
      </c>
      <c r="I91" s="219">
        <f t="shared" si="30"/>
        <v>225157.4</v>
      </c>
      <c r="J91" s="219">
        <f>J89+J90</f>
        <v>355379.01821000007</v>
      </c>
      <c r="K91" s="219"/>
      <c r="L91" s="219">
        <f>L89+L90</f>
        <v>301362.5</v>
      </c>
      <c r="M91" s="219">
        <f>M89+M90</f>
        <v>301362.5</v>
      </c>
      <c r="N91" s="219">
        <f t="shared" si="21"/>
        <v>1987000.9339700001</v>
      </c>
      <c r="O91" s="241"/>
      <c r="P91" s="271"/>
      <c r="Q91" s="271"/>
      <c r="R91" s="271"/>
    </row>
    <row r="92" spans="1:18" s="277" customFormat="1" ht="26.25" hidden="1">
      <c r="A92" s="241"/>
      <c r="B92" s="10" t="s">
        <v>132</v>
      </c>
      <c r="C92" s="46"/>
      <c r="D92" s="206">
        <v>431644.31</v>
      </c>
      <c r="E92" s="206"/>
      <c r="F92" s="206"/>
      <c r="G92" s="219"/>
      <c r="H92" s="206"/>
      <c r="I92" s="206"/>
      <c r="J92" s="239">
        <v>355379.01821000001</v>
      </c>
      <c r="K92" s="239"/>
      <c r="L92" s="239">
        <v>301362.5</v>
      </c>
      <c r="M92" s="239">
        <v>301362.5</v>
      </c>
      <c r="N92" s="219"/>
      <c r="O92" s="241"/>
      <c r="P92" s="271"/>
      <c r="Q92" s="271"/>
      <c r="R92" s="271"/>
    </row>
    <row r="93" spans="1:18" s="277" customFormat="1" ht="26.25" hidden="1">
      <c r="A93" s="241"/>
      <c r="B93" s="10" t="s">
        <v>132</v>
      </c>
      <c r="C93" s="46"/>
      <c r="D93" s="240">
        <f>D92-D91</f>
        <v>0</v>
      </c>
      <c r="E93" s="240"/>
      <c r="F93" s="240"/>
      <c r="G93" s="219"/>
      <c r="H93" s="240">
        <f t="shared" ref="H93:K93" si="31">H92-H91</f>
        <v>-477459.15575999999</v>
      </c>
      <c r="I93" s="240">
        <f t="shared" si="31"/>
        <v>-225157.4</v>
      </c>
      <c r="J93" s="239">
        <f>J92-J91</f>
        <v>0</v>
      </c>
      <c r="K93" s="239">
        <f t="shared" si="31"/>
        <v>0</v>
      </c>
      <c r="L93" s="239">
        <f>L92-L91</f>
        <v>0</v>
      </c>
      <c r="M93" s="239">
        <f>M92-M91</f>
        <v>0</v>
      </c>
      <c r="N93" s="219"/>
      <c r="O93" s="241"/>
      <c r="P93" s="271"/>
      <c r="Q93" s="271"/>
      <c r="R93" s="271"/>
    </row>
    <row r="94" spans="1:18" s="277" customFormat="1" ht="222.75" customHeight="1">
      <c r="A94" s="241"/>
      <c r="B94" s="10"/>
      <c r="C94" s="46"/>
      <c r="D94" s="240"/>
      <c r="E94" s="240"/>
      <c r="F94" s="240"/>
      <c r="G94" s="219"/>
      <c r="H94" s="240"/>
      <c r="I94" s="240"/>
      <c r="J94" s="239"/>
      <c r="K94" s="239"/>
      <c r="L94" s="239"/>
      <c r="M94" s="239"/>
      <c r="N94" s="219"/>
      <c r="O94" s="241"/>
      <c r="P94" s="271"/>
      <c r="Q94" s="271"/>
      <c r="R94" s="271"/>
    </row>
    <row r="95" spans="1:18" s="277" customFormat="1" ht="53.25" customHeight="1">
      <c r="A95" s="241"/>
      <c r="B95" s="10" t="s">
        <v>24</v>
      </c>
      <c r="C95" s="37" t="e">
        <f>C96+C97+C98</f>
        <v>#REF!</v>
      </c>
      <c r="D95" s="206">
        <f>D96+D97+D98</f>
        <v>603117.71</v>
      </c>
      <c r="E95" s="206" t="e">
        <f>E96+E97+E98</f>
        <v>#REF!</v>
      </c>
      <c r="F95" s="206" t="e">
        <f>F96+F97+F98</f>
        <v>#REF!</v>
      </c>
      <c r="G95" s="219">
        <f>G96+G97+G98</f>
        <v>665367.74676000001</v>
      </c>
      <c r="H95" s="219" t="e">
        <f t="shared" ref="H95:I95" si="32">H96+H97+H98</f>
        <v>#REF!</v>
      </c>
      <c r="I95" s="219" t="e">
        <f t="shared" si="32"/>
        <v>#REF!</v>
      </c>
      <c r="J95" s="219">
        <f>J96+J97+J98</f>
        <v>409883.79927000008</v>
      </c>
      <c r="K95" s="219">
        <f t="shared" ref="K95:L95" si="33">K96+K97+K98</f>
        <v>135587.95149000006</v>
      </c>
      <c r="L95" s="219">
        <f t="shared" si="33"/>
        <v>371143.96950000001</v>
      </c>
      <c r="M95" s="219">
        <f>M96+M97+M98</f>
        <v>444565.20750000002</v>
      </c>
      <c r="N95" s="219">
        <f>D95+G95+J95+L95+M95</f>
        <v>2494078.43303</v>
      </c>
      <c r="O95" s="242"/>
      <c r="P95" s="243"/>
      <c r="Q95" s="243"/>
      <c r="R95" s="271"/>
    </row>
    <row r="96" spans="1:18" s="277" customFormat="1" ht="33.75" customHeight="1">
      <c r="A96" s="241"/>
      <c r="B96" s="31" t="s">
        <v>20</v>
      </c>
      <c r="C96" s="37" t="e">
        <f>C89+C56</f>
        <v>#REF!</v>
      </c>
      <c r="D96" s="206">
        <f>D89+D56</f>
        <v>544722.11</v>
      </c>
      <c r="E96" s="206" t="e">
        <f>E89+E56</f>
        <v>#REF!</v>
      </c>
      <c r="F96" s="206" t="e">
        <f>F89+F56</f>
        <v>#REF!</v>
      </c>
      <c r="G96" s="219">
        <f t="shared" ref="G96:I96" si="34">G89+G56</f>
        <v>649404.54676000006</v>
      </c>
      <c r="H96" s="219" t="e">
        <f t="shared" si="34"/>
        <v>#REF!</v>
      </c>
      <c r="I96" s="219" t="e">
        <f t="shared" si="34"/>
        <v>#REF!</v>
      </c>
      <c r="J96" s="219">
        <f>J89+J56</f>
        <v>393110.87821000005</v>
      </c>
      <c r="K96" s="219">
        <f t="shared" ref="K96:M96" si="35">K89+K56</f>
        <v>132316.22821000006</v>
      </c>
      <c r="L96" s="219">
        <f t="shared" si="35"/>
        <v>333509.19</v>
      </c>
      <c r="M96" s="219">
        <f t="shared" si="35"/>
        <v>333574.57</v>
      </c>
      <c r="N96" s="219">
        <f t="shared" si="21"/>
        <v>2254321.2949700002</v>
      </c>
      <c r="O96" s="241"/>
      <c r="P96" s="271"/>
      <c r="Q96" s="271"/>
      <c r="R96" s="271"/>
    </row>
    <row r="97" spans="1:18" s="277" customFormat="1" ht="34.5" customHeight="1">
      <c r="A97" s="241"/>
      <c r="B97" s="31" t="s">
        <v>21</v>
      </c>
      <c r="C97" s="37" t="e">
        <f>C57+C90</f>
        <v>#REF!</v>
      </c>
      <c r="D97" s="206">
        <f>D57+D90</f>
        <v>51703.200000000004</v>
      </c>
      <c r="E97" s="206" t="e">
        <f>E57+E90</f>
        <v>#REF!</v>
      </c>
      <c r="F97" s="206" t="e">
        <f>F57+F90</f>
        <v>#REF!</v>
      </c>
      <c r="G97" s="219">
        <f t="shared" ref="G97:I97" si="36">G57+G90</f>
        <v>13706</v>
      </c>
      <c r="H97" s="219" t="e">
        <f t="shared" si="36"/>
        <v>#REF!</v>
      </c>
      <c r="I97" s="219" t="e">
        <f t="shared" si="36"/>
        <v>#REF!</v>
      </c>
      <c r="J97" s="219">
        <f>J57+J90</f>
        <v>14073.14328</v>
      </c>
      <c r="K97" s="219">
        <f t="shared" ref="K97" si="37">K57+K90</f>
        <v>3271.7232800000002</v>
      </c>
      <c r="L97" s="219">
        <f>L57+L90</f>
        <v>37634.779499999997</v>
      </c>
      <c r="M97" s="219">
        <f>M57+M90</f>
        <v>110990.63749999998</v>
      </c>
      <c r="N97" s="219">
        <f t="shared" si="21"/>
        <v>228107.76027999999</v>
      </c>
      <c r="O97" s="241"/>
      <c r="P97" s="271"/>
      <c r="Q97" s="271"/>
      <c r="R97" s="278"/>
    </row>
    <row r="98" spans="1:18" s="277" customFormat="1" ht="32.25" customHeight="1">
      <c r="A98" s="241"/>
      <c r="B98" s="31" t="s">
        <v>25</v>
      </c>
      <c r="C98" s="37" t="e">
        <f>C58</f>
        <v>#REF!</v>
      </c>
      <c r="D98" s="206">
        <f>D58</f>
        <v>6692.4</v>
      </c>
      <c r="E98" s="206" t="e">
        <f>E58</f>
        <v>#REF!</v>
      </c>
      <c r="F98" s="206" t="e">
        <f>F58</f>
        <v>#REF!</v>
      </c>
      <c r="G98" s="219">
        <f t="shared" ref="G98:I98" si="38">G58</f>
        <v>2257.1999999999998</v>
      </c>
      <c r="H98" s="219" t="e">
        <f t="shared" si="38"/>
        <v>#REF!</v>
      </c>
      <c r="I98" s="219" t="e">
        <f t="shared" si="38"/>
        <v>#REF!</v>
      </c>
      <c r="J98" s="219">
        <f>J58</f>
        <v>2699.7777799999999</v>
      </c>
      <c r="K98" s="219">
        <f t="shared" ref="K98:M98" si="39">K58</f>
        <v>0</v>
      </c>
      <c r="L98" s="219">
        <f t="shared" si="39"/>
        <v>0</v>
      </c>
      <c r="M98" s="219">
        <f t="shared" si="39"/>
        <v>0</v>
      </c>
      <c r="N98" s="219">
        <f t="shared" si="21"/>
        <v>11649.377779999999</v>
      </c>
      <c r="O98" s="241"/>
      <c r="P98" s="271"/>
      <c r="Q98" s="271"/>
      <c r="R98" s="279"/>
    </row>
    <row r="99" spans="1:18" ht="33.75" hidden="1">
      <c r="C99" s="281"/>
      <c r="G99" s="246"/>
      <c r="J99" s="246">
        <v>409883.79927000002</v>
      </c>
      <c r="L99" s="246">
        <v>371143.96950000001</v>
      </c>
      <c r="M99" s="246">
        <v>444565.20750000002</v>
      </c>
    </row>
    <row r="100" spans="1:18" hidden="1">
      <c r="C100" s="38"/>
      <c r="G100" s="246"/>
      <c r="J100" s="246">
        <f>J99-J95</f>
        <v>0</v>
      </c>
      <c r="L100" s="246">
        <f>L99-L95</f>
        <v>0</v>
      </c>
      <c r="M100" s="246">
        <f>M99-M95</f>
        <v>0</v>
      </c>
    </row>
    <row r="101" spans="1:18" s="272" customFormat="1" ht="28.5" hidden="1">
      <c r="A101" s="283"/>
      <c r="B101" s="284"/>
      <c r="D101" s="285"/>
      <c r="E101" s="285"/>
      <c r="F101" s="285"/>
      <c r="G101" s="285"/>
      <c r="H101" s="285"/>
      <c r="I101" s="285"/>
      <c r="J101" s="285"/>
      <c r="K101" s="285"/>
      <c r="L101" s="285">
        <v>13769.427</v>
      </c>
      <c r="M101" s="285">
        <v>13769.427</v>
      </c>
      <c r="N101" s="285"/>
      <c r="O101" s="286"/>
    </row>
    <row r="102" spans="1:18" s="281" customFormat="1" ht="33.75" hidden="1">
      <c r="A102" s="287"/>
      <c r="B102" s="288"/>
      <c r="D102" s="289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90"/>
    </row>
    <row r="103" spans="1:18" s="281" customFormat="1" ht="33.75" hidden="1">
      <c r="A103" s="287"/>
      <c r="B103" s="288"/>
      <c r="D103" s="289"/>
      <c r="E103" s="289"/>
      <c r="F103" s="289"/>
      <c r="G103" s="289"/>
      <c r="H103" s="289"/>
      <c r="I103" s="289"/>
      <c r="J103" s="289"/>
      <c r="K103" s="289"/>
      <c r="L103" s="289">
        <f>L97-L101</f>
        <v>23865.352499999997</v>
      </c>
      <c r="M103" s="289">
        <f>M97-M101</f>
        <v>97221.210499999986</v>
      </c>
      <c r="N103" s="289"/>
      <c r="O103" s="290"/>
    </row>
    <row r="106" spans="1:18" s="281" customFormat="1" ht="93" hidden="1" customHeight="1">
      <c r="A106" s="287"/>
      <c r="B106" s="288"/>
      <c r="D106" s="289"/>
      <c r="E106" s="289"/>
      <c r="F106" s="289"/>
      <c r="G106" s="289"/>
      <c r="H106" s="289"/>
      <c r="I106" s="289"/>
      <c r="J106" s="289"/>
      <c r="K106" s="289"/>
      <c r="L106" s="289"/>
      <c r="M106" s="289"/>
      <c r="N106" s="289"/>
      <c r="O106" s="290"/>
    </row>
    <row r="107" spans="1:18" s="281" customFormat="1" ht="3.75" hidden="1" customHeight="1">
      <c r="A107" s="287"/>
      <c r="B107" s="288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90"/>
    </row>
    <row r="108" spans="1:18" s="281" customFormat="1" ht="33.75" hidden="1">
      <c r="A108" s="287"/>
      <c r="B108" s="288"/>
      <c r="D108" s="289"/>
      <c r="E108" s="289"/>
      <c r="F108" s="289"/>
      <c r="G108" s="289"/>
      <c r="H108" s="289"/>
      <c r="I108" s="289"/>
      <c r="J108" s="289"/>
      <c r="K108" s="289"/>
      <c r="L108" s="289">
        <v>371143.96500000003</v>
      </c>
      <c r="M108" s="289">
        <v>444565.20750000002</v>
      </c>
      <c r="N108" s="289"/>
      <c r="O108" s="290"/>
    </row>
    <row r="109" spans="1:18" s="281" customFormat="1" ht="33.75" hidden="1">
      <c r="A109" s="287"/>
      <c r="B109" s="288"/>
      <c r="D109" s="289"/>
      <c r="E109" s="289"/>
      <c r="F109" s="289"/>
      <c r="G109" s="289"/>
      <c r="H109" s="289"/>
      <c r="I109" s="289"/>
      <c r="J109" s="289"/>
      <c r="K109" s="289"/>
      <c r="L109" s="289">
        <f>L108-L95</f>
        <v>-4.4999999809078872E-3</v>
      </c>
      <c r="M109" s="289">
        <f>M108-M95</f>
        <v>0</v>
      </c>
      <c r="N109" s="289"/>
      <c r="O109" s="290"/>
    </row>
  </sheetData>
  <mergeCells count="66">
    <mergeCell ref="A87:A88"/>
    <mergeCell ref="B87:B88"/>
    <mergeCell ref="B77:B78"/>
    <mergeCell ref="A79:A80"/>
    <mergeCell ref="B79:B80"/>
    <mergeCell ref="A81:A82"/>
    <mergeCell ref="B81:B82"/>
    <mergeCell ref="A83:A84"/>
    <mergeCell ref="B83:B84"/>
    <mergeCell ref="A63:Q63"/>
    <mergeCell ref="R63:R86"/>
    <mergeCell ref="A64:Q64"/>
    <mergeCell ref="A71:A72"/>
    <mergeCell ref="B71:B72"/>
    <mergeCell ref="A73:A74"/>
    <mergeCell ref="B73:B74"/>
    <mergeCell ref="A75:A76"/>
    <mergeCell ref="B75:B76"/>
    <mergeCell ref="A77:A78"/>
    <mergeCell ref="A85:A86"/>
    <mergeCell ref="B85:B86"/>
    <mergeCell ref="A62:R62"/>
    <mergeCell ref="A39:A41"/>
    <mergeCell ref="B39:B41"/>
    <mergeCell ref="A43:A45"/>
    <mergeCell ref="B43:B45"/>
    <mergeCell ref="A47:A48"/>
    <mergeCell ref="B47:B48"/>
    <mergeCell ref="A50:A51"/>
    <mergeCell ref="B50:B51"/>
    <mergeCell ref="A54:A55"/>
    <mergeCell ref="B54:B55"/>
    <mergeCell ref="Q54:Q55"/>
    <mergeCell ref="A14:R14"/>
    <mergeCell ref="A15:Q15"/>
    <mergeCell ref="R15:R55"/>
    <mergeCell ref="A16:Q16"/>
    <mergeCell ref="A17:A19"/>
    <mergeCell ref="B17:B19"/>
    <mergeCell ref="A35:A38"/>
    <mergeCell ref="B35:B37"/>
    <mergeCell ref="A24:A25"/>
    <mergeCell ref="B24:B25"/>
    <mergeCell ref="P24:P25"/>
    <mergeCell ref="A32:A34"/>
    <mergeCell ref="B32:B34"/>
    <mergeCell ref="O8:R8"/>
    <mergeCell ref="A10:R10"/>
    <mergeCell ref="A12:A13"/>
    <mergeCell ref="B12:B13"/>
    <mergeCell ref="D12:D13"/>
    <mergeCell ref="G12:G13"/>
    <mergeCell ref="J12:J13"/>
    <mergeCell ref="L12:L13"/>
    <mergeCell ref="M12:M13"/>
    <mergeCell ref="N12:N13"/>
    <mergeCell ref="R12:R13"/>
    <mergeCell ref="O12:O13"/>
    <mergeCell ref="P12:P13"/>
    <mergeCell ref="Q12:Q13"/>
    <mergeCell ref="O7:R7"/>
    <mergeCell ref="O1:R1"/>
    <mergeCell ref="O2:R2"/>
    <mergeCell ref="O3:R3"/>
    <mergeCell ref="O4:R4"/>
    <mergeCell ref="O5:R5"/>
  </mergeCells>
  <pageMargins left="0.31496062992125984" right="0.31496062992125984" top="0.98425196850393704" bottom="0.19685039370078741" header="0.11811023622047245" footer="0.15748031496062992"/>
  <pageSetup paperSize="9"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03"/>
  <sheetViews>
    <sheetView view="pageBreakPreview" zoomScale="50" zoomScaleNormal="60" zoomScaleSheetLayoutView="50" workbookViewId="0">
      <selection activeCell="N17" sqref="N17"/>
    </sheetView>
  </sheetViews>
  <sheetFormatPr defaultColWidth="9.140625" defaultRowHeight="23.25"/>
  <cols>
    <col min="1" max="1" width="8.85546875" style="249" customWidth="1"/>
    <col min="2" max="2" width="67.28515625" style="250" customWidth="1"/>
    <col min="3" max="3" width="17.85546875" style="8" hidden="1" customWidth="1"/>
    <col min="4" max="4" width="21.28515625" style="208" customWidth="1"/>
    <col min="5" max="5" width="28" style="208" hidden="1" customWidth="1"/>
    <col min="6" max="6" width="28.28515625" style="208" hidden="1" customWidth="1"/>
    <col min="7" max="7" width="24.85546875" style="208" bestFit="1" customWidth="1"/>
    <col min="8" max="9" width="28.28515625" style="208" hidden="1" customWidth="1"/>
    <col min="10" max="10" width="24.85546875" style="208" bestFit="1" customWidth="1"/>
    <col min="11" max="11" width="28.28515625" style="208" hidden="1" customWidth="1"/>
    <col min="12" max="12" width="25" style="208" bestFit="1" customWidth="1"/>
    <col min="13" max="13" width="34.140625" style="208" bestFit="1" customWidth="1"/>
    <col min="14" max="14" width="38.140625" style="251" customWidth="1"/>
    <col min="15" max="15" width="36.140625" style="270" customWidth="1"/>
    <col min="16" max="16" width="45.85546875" style="8" hidden="1" customWidth="1"/>
    <col min="17" max="17" width="35" style="8" customWidth="1"/>
    <col min="18" max="18" width="42.140625" style="8" customWidth="1"/>
    <col min="19" max="19" width="0.7109375" style="8" hidden="1" customWidth="1"/>
    <col min="20" max="24" width="9.140625" style="8" hidden="1" customWidth="1"/>
    <col min="25" max="25" width="6.85546875" style="8" customWidth="1"/>
    <col min="26" max="16384" width="9.140625" style="8"/>
  </cols>
  <sheetData>
    <row r="1" spans="1:18" ht="30.75" customHeight="1">
      <c r="O1" s="525"/>
      <c r="P1" s="525"/>
      <c r="Q1" s="525"/>
      <c r="R1" s="525"/>
    </row>
    <row r="2" spans="1:18" ht="29.25" customHeight="1">
      <c r="O2" s="578"/>
      <c r="P2" s="578"/>
      <c r="Q2" s="578"/>
      <c r="R2" s="578"/>
    </row>
    <row r="3" spans="1:18" ht="24" customHeight="1">
      <c r="O3" s="578"/>
      <c r="P3" s="578"/>
      <c r="Q3" s="578"/>
      <c r="R3" s="578"/>
    </row>
    <row r="4" spans="1:18" ht="27" customHeight="1">
      <c r="O4" s="578"/>
      <c r="P4" s="578"/>
      <c r="Q4" s="578"/>
      <c r="R4" s="578"/>
    </row>
    <row r="5" spans="1:18" ht="29.25" customHeight="1">
      <c r="O5" s="578"/>
      <c r="P5" s="578"/>
      <c r="Q5" s="578"/>
      <c r="R5" s="578"/>
    </row>
    <row r="6" spans="1:18" ht="21.75" customHeight="1">
      <c r="N6" s="252"/>
      <c r="O6" s="280"/>
      <c r="P6" s="253"/>
      <c r="Q6" s="253"/>
      <c r="R6" s="253"/>
    </row>
    <row r="7" spans="1:18" ht="31.5" customHeight="1">
      <c r="O7" s="525" t="s">
        <v>162</v>
      </c>
      <c r="P7" s="525"/>
      <c r="Q7" s="525"/>
      <c r="R7" s="525"/>
    </row>
    <row r="8" spans="1:18" ht="27.75" customHeight="1">
      <c r="O8" s="525" t="s">
        <v>161</v>
      </c>
      <c r="P8" s="525"/>
      <c r="Q8" s="525"/>
      <c r="R8" s="525"/>
    </row>
    <row r="9" spans="1:18" ht="27.75" customHeight="1">
      <c r="N9" s="252"/>
      <c r="O9" s="280"/>
      <c r="P9" s="280"/>
      <c r="Q9" s="280"/>
      <c r="R9" s="280"/>
    </row>
    <row r="10" spans="1:18" ht="57" customHeight="1">
      <c r="A10" s="527" t="s">
        <v>192</v>
      </c>
      <c r="B10" s="527"/>
      <c r="C10" s="527"/>
      <c r="D10" s="527"/>
      <c r="E10" s="527"/>
      <c r="F10" s="527"/>
      <c r="G10" s="527"/>
      <c r="H10" s="527"/>
      <c r="I10" s="527"/>
      <c r="J10" s="527"/>
      <c r="K10" s="527"/>
      <c r="L10" s="527"/>
      <c r="M10" s="527"/>
      <c r="N10" s="527"/>
      <c r="O10" s="527"/>
      <c r="P10" s="527"/>
      <c r="Q10" s="527"/>
      <c r="R10" s="527"/>
    </row>
    <row r="11" spans="1:18" ht="28.5" customHeight="1"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5" t="s">
        <v>101</v>
      </c>
    </row>
    <row r="12" spans="1:18" ht="24.75">
      <c r="A12" s="490" t="s">
        <v>1</v>
      </c>
      <c r="B12" s="490" t="s">
        <v>2</v>
      </c>
      <c r="C12" s="256"/>
      <c r="D12" s="504" t="s">
        <v>164</v>
      </c>
      <c r="E12" s="257"/>
      <c r="F12" s="257"/>
      <c r="G12" s="504" t="s">
        <v>142</v>
      </c>
      <c r="H12" s="257"/>
      <c r="I12" s="257"/>
      <c r="J12" s="504" t="s">
        <v>143</v>
      </c>
      <c r="K12" s="258"/>
      <c r="L12" s="504" t="s">
        <v>144</v>
      </c>
      <c r="M12" s="504" t="s">
        <v>188</v>
      </c>
      <c r="N12" s="504" t="s">
        <v>3</v>
      </c>
      <c r="O12" s="490" t="s">
        <v>4</v>
      </c>
      <c r="P12" s="490" t="s">
        <v>4</v>
      </c>
      <c r="Q12" s="490" t="s">
        <v>160</v>
      </c>
      <c r="R12" s="490" t="s">
        <v>5</v>
      </c>
    </row>
    <row r="13" spans="1:18" ht="46.5" customHeight="1">
      <c r="A13" s="490"/>
      <c r="B13" s="490"/>
      <c r="C13" s="31" t="s">
        <v>80</v>
      </c>
      <c r="D13" s="504"/>
      <c r="E13" s="229" t="s">
        <v>72</v>
      </c>
      <c r="F13" s="229" t="s">
        <v>130</v>
      </c>
      <c r="G13" s="504"/>
      <c r="H13" s="229" t="s">
        <v>72</v>
      </c>
      <c r="I13" s="229" t="s">
        <v>131</v>
      </c>
      <c r="J13" s="504"/>
      <c r="K13" s="206" t="s">
        <v>72</v>
      </c>
      <c r="L13" s="504"/>
      <c r="M13" s="504"/>
      <c r="N13" s="504"/>
      <c r="O13" s="490"/>
      <c r="P13" s="490"/>
      <c r="Q13" s="490"/>
      <c r="R13" s="490"/>
    </row>
    <row r="14" spans="1:18" s="259" customFormat="1" ht="42.75" customHeight="1">
      <c r="A14" s="496" t="s">
        <v>6</v>
      </c>
      <c r="B14" s="496"/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6"/>
    </row>
    <row r="15" spans="1:18" s="262" customFormat="1" ht="54.75" customHeight="1">
      <c r="A15" s="493" t="s">
        <v>125</v>
      </c>
      <c r="B15" s="493"/>
      <c r="C15" s="493"/>
      <c r="D15" s="493"/>
      <c r="E15" s="493"/>
      <c r="F15" s="493"/>
      <c r="G15" s="493"/>
      <c r="H15" s="493"/>
      <c r="I15" s="493"/>
      <c r="J15" s="493"/>
      <c r="K15" s="493"/>
      <c r="L15" s="493"/>
      <c r="M15" s="493"/>
      <c r="N15" s="493"/>
      <c r="O15" s="493"/>
      <c r="P15" s="493"/>
      <c r="Q15" s="493"/>
      <c r="R15" s="494" t="s">
        <v>165</v>
      </c>
    </row>
    <row r="16" spans="1:18" s="262" customFormat="1" ht="107.25" customHeight="1">
      <c r="A16" s="505" t="s">
        <v>84</v>
      </c>
      <c r="B16" s="505"/>
      <c r="C16" s="505"/>
      <c r="D16" s="505"/>
      <c r="E16" s="505"/>
      <c r="F16" s="505"/>
      <c r="G16" s="505"/>
      <c r="H16" s="505"/>
      <c r="I16" s="505"/>
      <c r="J16" s="505"/>
      <c r="K16" s="505"/>
      <c r="L16" s="505"/>
      <c r="M16" s="505"/>
      <c r="N16" s="505"/>
      <c r="O16" s="505"/>
      <c r="P16" s="505"/>
      <c r="Q16" s="505"/>
      <c r="R16" s="494"/>
    </row>
    <row r="17" spans="1:18" ht="107.25" customHeight="1">
      <c r="A17" s="501">
        <v>1</v>
      </c>
      <c r="B17" s="488" t="s">
        <v>31</v>
      </c>
      <c r="C17" s="25">
        <f>C24+C26+C27+C28+C29+C30</f>
        <v>23003.7</v>
      </c>
      <c r="D17" s="206">
        <f>D24+D26+D27+D28+D29+D30</f>
        <v>28774.5</v>
      </c>
      <c r="E17" s="206">
        <f>E24+E26+E27+E28+E29+E30</f>
        <v>5770.8</v>
      </c>
      <c r="F17" s="206">
        <f>F24+F26+F27+F28+F29+F30</f>
        <v>19980.199999999997</v>
      </c>
      <c r="G17" s="219">
        <v>51262.540999999997</v>
      </c>
      <c r="H17" s="206"/>
      <c r="I17" s="206">
        <f>I24+I26+I27+I28+I29+I30</f>
        <v>19980.199999999997</v>
      </c>
      <c r="J17" s="219">
        <f>J24+J26+J27+J28+J29+J30+J32</f>
        <v>36044.949999999997</v>
      </c>
      <c r="K17" s="219"/>
      <c r="L17" s="219">
        <f>L24+L26+L27+L28+L29+L30</f>
        <v>35024.5</v>
      </c>
      <c r="M17" s="219">
        <f>M24+M26+M27+M28+M29+M30</f>
        <v>35024.6</v>
      </c>
      <c r="N17" s="219">
        <f>D17+G17+J17+L17+M17</f>
        <v>186131.09099999999</v>
      </c>
      <c r="O17" s="31" t="s">
        <v>7</v>
      </c>
      <c r="P17" s="31"/>
      <c r="Q17" s="31" t="s">
        <v>159</v>
      </c>
      <c r="R17" s="494"/>
    </row>
    <row r="18" spans="1:18" ht="46.5" customHeight="1">
      <c r="A18" s="506"/>
      <c r="B18" s="507"/>
      <c r="C18" s="25">
        <f>C25</f>
        <v>2584.5</v>
      </c>
      <c r="D18" s="206">
        <f>D25</f>
        <v>2834.5</v>
      </c>
      <c r="E18" s="206">
        <f>E25</f>
        <v>250</v>
      </c>
      <c r="F18" s="206">
        <f>F25</f>
        <v>2584.5</v>
      </c>
      <c r="G18" s="219">
        <v>2734.7</v>
      </c>
      <c r="H18" s="206"/>
      <c r="I18" s="206">
        <f>I25</f>
        <v>2584.5</v>
      </c>
      <c r="J18" s="219">
        <f>J25+J33+J55</f>
        <v>3426.4532799999997</v>
      </c>
      <c r="K18" s="219">
        <f>K25+K40+K55</f>
        <v>841.95327999999995</v>
      </c>
      <c r="L18" s="219">
        <f>L25+L40</f>
        <v>2664.9775</v>
      </c>
      <c r="M18" s="219">
        <f>M25+M40</f>
        <v>2664.9775</v>
      </c>
      <c r="N18" s="219">
        <f t="shared" ref="N18:N20" si="0">D18+G18+J18+L18+M18</f>
        <v>14325.60828</v>
      </c>
      <c r="O18" s="31" t="s">
        <v>8</v>
      </c>
      <c r="P18" s="31"/>
      <c r="Q18" s="31"/>
      <c r="R18" s="494"/>
    </row>
    <row r="19" spans="1:18" ht="46.5" customHeight="1">
      <c r="A19" s="502"/>
      <c r="B19" s="489"/>
      <c r="C19" s="25"/>
      <c r="D19" s="206">
        <v>0</v>
      </c>
      <c r="E19" s="206"/>
      <c r="F19" s="206"/>
      <c r="G19" s="219">
        <v>0</v>
      </c>
      <c r="H19" s="206"/>
      <c r="I19" s="206"/>
      <c r="J19" s="219">
        <f>J34</f>
        <v>2699.7777799999999</v>
      </c>
      <c r="K19" s="219"/>
      <c r="L19" s="219">
        <v>0</v>
      </c>
      <c r="M19" s="219">
        <v>0</v>
      </c>
      <c r="N19" s="219">
        <f t="shared" si="0"/>
        <v>2699.7777799999999</v>
      </c>
      <c r="O19" s="31" t="s">
        <v>9</v>
      </c>
      <c r="P19" s="31"/>
      <c r="Q19" s="31"/>
      <c r="R19" s="494"/>
    </row>
    <row r="20" spans="1:18" ht="108.75" customHeight="1">
      <c r="A20" s="10"/>
      <c r="B20" s="263" t="s">
        <v>37</v>
      </c>
      <c r="C20" s="25">
        <f>C18+C17</f>
        <v>25588.2</v>
      </c>
      <c r="D20" s="206">
        <f>D18+D17</f>
        <v>31609</v>
      </c>
      <c r="E20" s="206">
        <f t="shared" ref="E20:I20" si="1">E18+E17</f>
        <v>6020.8</v>
      </c>
      <c r="F20" s="206">
        <f t="shared" si="1"/>
        <v>22564.699999999997</v>
      </c>
      <c r="G20" s="219">
        <f>G17+G18+G19</f>
        <v>53997.240999999995</v>
      </c>
      <c r="H20" s="206">
        <f t="shared" si="1"/>
        <v>0</v>
      </c>
      <c r="I20" s="206">
        <f t="shared" si="1"/>
        <v>22564.699999999997</v>
      </c>
      <c r="J20" s="219">
        <f>J18+J17+J19</f>
        <v>42171.181059999995</v>
      </c>
      <c r="K20" s="219">
        <f t="shared" ref="K20:M20" si="2">K18+K17+K19</f>
        <v>841.95327999999995</v>
      </c>
      <c r="L20" s="219">
        <f>L18+L17+L19</f>
        <v>37689.477500000001</v>
      </c>
      <c r="M20" s="219">
        <f t="shared" si="2"/>
        <v>37689.577499999999</v>
      </c>
      <c r="N20" s="219">
        <f t="shared" si="0"/>
        <v>203156.47706</v>
      </c>
      <c r="O20" s="31"/>
      <c r="P20" s="31"/>
      <c r="Q20" s="31"/>
      <c r="R20" s="494"/>
    </row>
    <row r="21" spans="1:18" ht="35.25" customHeight="1">
      <c r="A21" s="10"/>
      <c r="B21" s="263" t="s">
        <v>10</v>
      </c>
      <c r="C21" s="25"/>
      <c r="D21" s="236">
        <v>31609</v>
      </c>
      <c r="E21" s="236"/>
      <c r="F21" s="236"/>
      <c r="G21" s="247"/>
      <c r="H21" s="236"/>
      <c r="I21" s="236"/>
      <c r="J21" s="248">
        <v>42171.181060000003</v>
      </c>
      <c r="K21" s="248"/>
      <c r="L21" s="248">
        <v>37689.477500000001</v>
      </c>
      <c r="M21" s="248">
        <v>37689.577499999999</v>
      </c>
      <c r="N21" s="219"/>
      <c r="O21" s="31"/>
      <c r="P21" s="260"/>
      <c r="Q21" s="260"/>
      <c r="R21" s="494"/>
    </row>
    <row r="22" spans="1:18" ht="24" hidden="1" customHeight="1">
      <c r="A22" s="10"/>
      <c r="B22" s="263"/>
      <c r="C22" s="25"/>
      <c r="D22" s="229">
        <f>D21-D20</f>
        <v>0</v>
      </c>
      <c r="E22" s="229"/>
      <c r="F22" s="229"/>
      <c r="G22" s="219"/>
      <c r="H22" s="229"/>
      <c r="I22" s="229"/>
      <c r="J22" s="264">
        <f>J21-J20</f>
        <v>0</v>
      </c>
      <c r="K22" s="264">
        <f t="shared" ref="K22:L22" si="3">K21-K20</f>
        <v>-841.95327999999995</v>
      </c>
      <c r="L22" s="264">
        <f t="shared" si="3"/>
        <v>0</v>
      </c>
      <c r="M22" s="264">
        <f>M21-M20</f>
        <v>0</v>
      </c>
      <c r="N22" s="219"/>
      <c r="O22" s="31"/>
      <c r="P22" s="260"/>
      <c r="Q22" s="260"/>
      <c r="R22" s="494"/>
    </row>
    <row r="23" spans="1:18" ht="24" hidden="1" customHeight="1">
      <c r="A23" s="10"/>
      <c r="B23" s="263"/>
      <c r="C23" s="25"/>
      <c r="D23" s="229"/>
      <c r="E23" s="229"/>
      <c r="F23" s="229"/>
      <c r="G23" s="219"/>
      <c r="H23" s="229"/>
      <c r="I23" s="229"/>
      <c r="J23" s="264"/>
      <c r="K23" s="264"/>
      <c r="L23" s="264"/>
      <c r="M23" s="264"/>
      <c r="N23" s="219">
        <f t="shared" ref="N23" si="4">D23+G23+J23+L23+M23</f>
        <v>0</v>
      </c>
      <c r="O23" s="31"/>
      <c r="P23" s="260"/>
      <c r="Q23" s="260"/>
      <c r="R23" s="494"/>
    </row>
    <row r="24" spans="1:18" ht="66.75" customHeight="1">
      <c r="A24" s="486" t="s">
        <v>11</v>
      </c>
      <c r="B24" s="500" t="s">
        <v>186</v>
      </c>
      <c r="C24" s="25">
        <v>100</v>
      </c>
      <c r="D24" s="206">
        <v>100</v>
      </c>
      <c r="E24" s="206">
        <f t="shared" ref="E24:E46" si="5">D24-C24</f>
        <v>0</v>
      </c>
      <c r="F24" s="206">
        <v>100</v>
      </c>
      <c r="G24" s="219">
        <v>2.7</v>
      </c>
      <c r="H24" s="206">
        <f>G24-F24</f>
        <v>-97.3</v>
      </c>
      <c r="I24" s="206">
        <v>100</v>
      </c>
      <c r="J24" s="219">
        <v>3</v>
      </c>
      <c r="K24" s="219">
        <f t="shared" ref="K24:K46" si="6">J24-I24</f>
        <v>-97</v>
      </c>
      <c r="L24" s="219">
        <f>J24</f>
        <v>3</v>
      </c>
      <c r="M24" s="219">
        <f>J24</f>
        <v>3</v>
      </c>
      <c r="N24" s="219">
        <f>D24+G24+J24+L24+M24</f>
        <v>111.7</v>
      </c>
      <c r="O24" s="31" t="s">
        <v>12</v>
      </c>
      <c r="P24" s="490" t="s">
        <v>134</v>
      </c>
      <c r="Q24" s="31"/>
      <c r="R24" s="494"/>
    </row>
    <row r="25" spans="1:18" ht="55.5" customHeight="1">
      <c r="A25" s="496"/>
      <c r="B25" s="500"/>
      <c r="C25" s="25">
        <v>2584.5</v>
      </c>
      <c r="D25" s="206">
        <v>2834.5</v>
      </c>
      <c r="E25" s="206">
        <f t="shared" si="5"/>
        <v>250</v>
      </c>
      <c r="F25" s="206">
        <v>2584.5</v>
      </c>
      <c r="G25" s="219">
        <v>2734.7</v>
      </c>
      <c r="H25" s="206">
        <f>G25-F25</f>
        <v>150.19999999999982</v>
      </c>
      <c r="I25" s="206">
        <v>2584.5</v>
      </c>
      <c r="J25" s="219">
        <v>2664.9775</v>
      </c>
      <c r="K25" s="219">
        <f t="shared" si="6"/>
        <v>80.477499999999964</v>
      </c>
      <c r="L25" s="219">
        <f>J25</f>
        <v>2664.9775</v>
      </c>
      <c r="M25" s="219">
        <f>J25</f>
        <v>2664.9775</v>
      </c>
      <c r="N25" s="219">
        <f t="shared" ref="N25:N54" si="7">D25+G25+J25+L25+M25</f>
        <v>13564.1325</v>
      </c>
      <c r="O25" s="31" t="s">
        <v>8</v>
      </c>
      <c r="P25" s="492"/>
      <c r="Q25" s="266"/>
      <c r="R25" s="494"/>
    </row>
    <row r="26" spans="1:18" ht="79.5" customHeight="1">
      <c r="A26" s="265" t="s">
        <v>13</v>
      </c>
      <c r="B26" s="263" t="s">
        <v>187</v>
      </c>
      <c r="C26" s="25">
        <v>2358.6999999999998</v>
      </c>
      <c r="D26" s="206">
        <v>1996</v>
      </c>
      <c r="E26" s="206">
        <f t="shared" si="5"/>
        <v>-362.69999999999982</v>
      </c>
      <c r="F26" s="206">
        <v>2056.1</v>
      </c>
      <c r="G26" s="219">
        <v>3413.52</v>
      </c>
      <c r="H26" s="206">
        <f t="shared" ref="H26:H45" si="8">G26-F26</f>
        <v>1357.42</v>
      </c>
      <c r="I26" s="206">
        <v>2056.1</v>
      </c>
      <c r="J26" s="219">
        <f>3321.3+'поясеительная+'!M19</f>
        <v>3400.68</v>
      </c>
      <c r="K26" s="219">
        <f t="shared" si="6"/>
        <v>1344.58</v>
      </c>
      <c r="L26" s="219">
        <v>3321.3</v>
      </c>
      <c r="M26" s="219">
        <v>3321.3</v>
      </c>
      <c r="N26" s="219">
        <f t="shared" si="7"/>
        <v>15452.8</v>
      </c>
      <c r="O26" s="31" t="s">
        <v>12</v>
      </c>
      <c r="P26" s="31" t="s">
        <v>128</v>
      </c>
      <c r="Q26" s="31"/>
      <c r="R26" s="494"/>
    </row>
    <row r="27" spans="1:18" ht="79.5" customHeight="1">
      <c r="A27" s="265" t="s">
        <v>14</v>
      </c>
      <c r="B27" s="263" t="s">
        <v>177</v>
      </c>
      <c r="C27" s="25">
        <v>11117.2</v>
      </c>
      <c r="D27" s="206">
        <v>12059.5</v>
      </c>
      <c r="E27" s="206">
        <f t="shared" si="5"/>
        <v>942.29999999999927</v>
      </c>
      <c r="F27" s="206">
        <v>8452.5</v>
      </c>
      <c r="G27" s="219">
        <v>14827</v>
      </c>
      <c r="H27" s="206">
        <f t="shared" si="8"/>
        <v>6374.5</v>
      </c>
      <c r="I27" s="206">
        <v>8452.5</v>
      </c>
      <c r="J27" s="219">
        <f>14500+'поясеительная+'!M20</f>
        <v>15648.82</v>
      </c>
      <c r="K27" s="219">
        <f t="shared" si="6"/>
        <v>7196.32</v>
      </c>
      <c r="L27" s="219">
        <f>J27</f>
        <v>15648.82</v>
      </c>
      <c r="M27" s="219">
        <v>14500</v>
      </c>
      <c r="N27" s="219">
        <f t="shared" si="7"/>
        <v>72684.14</v>
      </c>
      <c r="O27" s="31" t="s">
        <v>12</v>
      </c>
      <c r="P27" s="31"/>
      <c r="Q27" s="31"/>
      <c r="R27" s="494"/>
    </row>
    <row r="28" spans="1:18" ht="60.75" customHeight="1">
      <c r="A28" s="265" t="s">
        <v>15</v>
      </c>
      <c r="B28" s="263" t="s">
        <v>196</v>
      </c>
      <c r="C28" s="25">
        <v>3000</v>
      </c>
      <c r="D28" s="206">
        <v>3500</v>
      </c>
      <c r="E28" s="206">
        <f t="shared" si="5"/>
        <v>500</v>
      </c>
      <c r="F28" s="206">
        <v>6000</v>
      </c>
      <c r="G28" s="219">
        <v>500</v>
      </c>
      <c r="H28" s="206">
        <f t="shared" si="8"/>
        <v>-5500</v>
      </c>
      <c r="I28" s="206">
        <v>6000</v>
      </c>
      <c r="J28" s="219">
        <v>5000</v>
      </c>
      <c r="K28" s="219">
        <f t="shared" si="6"/>
        <v>-1000</v>
      </c>
      <c r="L28" s="219">
        <v>5000</v>
      </c>
      <c r="M28" s="219">
        <v>5000</v>
      </c>
      <c r="N28" s="219">
        <f>D28+G28+J28+L28+M28</f>
        <v>19000</v>
      </c>
      <c r="O28" s="31" t="s">
        <v>12</v>
      </c>
      <c r="P28" s="31" t="s">
        <v>135</v>
      </c>
      <c r="Q28" s="31"/>
      <c r="R28" s="494"/>
    </row>
    <row r="29" spans="1:18" ht="72.75" customHeight="1">
      <c r="A29" s="265" t="s">
        <v>16</v>
      </c>
      <c r="B29" s="263" t="s">
        <v>178</v>
      </c>
      <c r="C29" s="25">
        <v>5861</v>
      </c>
      <c r="D29" s="206">
        <v>10552.2</v>
      </c>
      <c r="E29" s="206">
        <f t="shared" si="5"/>
        <v>4691.2000000000007</v>
      </c>
      <c r="F29" s="206">
        <v>3371.6</v>
      </c>
      <c r="G29" s="219">
        <v>18953.221000000001</v>
      </c>
      <c r="H29" s="206">
        <f t="shared" si="8"/>
        <v>15581.621000000001</v>
      </c>
      <c r="I29" s="206">
        <v>3371.6</v>
      </c>
      <c r="J29" s="219">
        <f>16720.3-5000+'поясеительная+'!M22</f>
        <v>11509.449999999999</v>
      </c>
      <c r="K29" s="219">
        <f t="shared" si="6"/>
        <v>8137.8499999999985</v>
      </c>
      <c r="L29" s="219">
        <f>16720.2-5000-1148.82</f>
        <v>10571.380000000001</v>
      </c>
      <c r="M29" s="219">
        <f>J29+219.85-9</f>
        <v>11720.3</v>
      </c>
      <c r="N29" s="219">
        <f t="shared" si="7"/>
        <v>63306.551000000007</v>
      </c>
      <c r="O29" s="31" t="s">
        <v>12</v>
      </c>
      <c r="P29" s="229" t="s">
        <v>136</v>
      </c>
      <c r="Q29" s="229"/>
      <c r="R29" s="494"/>
    </row>
    <row r="30" spans="1:18" ht="104.25" customHeight="1">
      <c r="A30" s="265" t="s">
        <v>17</v>
      </c>
      <c r="B30" s="263" t="s">
        <v>190</v>
      </c>
      <c r="C30" s="25">
        <v>566.79999999999995</v>
      </c>
      <c r="D30" s="206">
        <v>566.79999999999995</v>
      </c>
      <c r="E30" s="206">
        <f t="shared" si="5"/>
        <v>0</v>
      </c>
      <c r="F30" s="206">
        <v>0</v>
      </c>
      <c r="G30" s="219">
        <v>540</v>
      </c>
      <c r="H30" s="206">
        <f t="shared" si="8"/>
        <v>540</v>
      </c>
      <c r="I30" s="206">
        <v>0</v>
      </c>
      <c r="J30" s="219">
        <v>480</v>
      </c>
      <c r="K30" s="219">
        <f t="shared" si="6"/>
        <v>480</v>
      </c>
      <c r="L30" s="219">
        <f t="shared" ref="L30" si="9">J30</f>
        <v>480</v>
      </c>
      <c r="M30" s="219">
        <f>J30</f>
        <v>480</v>
      </c>
      <c r="N30" s="219">
        <f t="shared" si="7"/>
        <v>2546.8000000000002</v>
      </c>
      <c r="O30" s="31" t="s">
        <v>12</v>
      </c>
      <c r="P30" s="31"/>
      <c r="Q30" s="31"/>
      <c r="R30" s="494"/>
    </row>
    <row r="31" spans="1:18" ht="120" customHeight="1">
      <c r="A31" s="265" t="s">
        <v>18</v>
      </c>
      <c r="B31" s="263" t="s">
        <v>184</v>
      </c>
      <c r="C31" s="25"/>
      <c r="D31" s="206">
        <v>0</v>
      </c>
      <c r="E31" s="206"/>
      <c r="F31" s="206"/>
      <c r="G31" s="219">
        <v>13026.1</v>
      </c>
      <c r="H31" s="206"/>
      <c r="I31" s="206"/>
      <c r="J31" s="219">
        <v>0</v>
      </c>
      <c r="K31" s="219"/>
      <c r="L31" s="219">
        <v>0</v>
      </c>
      <c r="M31" s="219">
        <v>0</v>
      </c>
      <c r="N31" s="219">
        <f t="shared" si="7"/>
        <v>13026.1</v>
      </c>
      <c r="O31" s="31" t="s">
        <v>12</v>
      </c>
      <c r="P31" s="31"/>
      <c r="Q31" s="31"/>
      <c r="R31" s="494"/>
    </row>
    <row r="32" spans="1:18" ht="24">
      <c r="A32" s="513" t="s">
        <v>19</v>
      </c>
      <c r="B32" s="488" t="s">
        <v>189</v>
      </c>
      <c r="C32" s="25"/>
      <c r="D32" s="206">
        <v>0</v>
      </c>
      <c r="E32" s="206"/>
      <c r="F32" s="206"/>
      <c r="G32" s="219">
        <v>0</v>
      </c>
      <c r="H32" s="206"/>
      <c r="I32" s="206"/>
      <c r="J32" s="219">
        <v>3</v>
      </c>
      <c r="K32" s="219"/>
      <c r="L32" s="219">
        <v>0</v>
      </c>
      <c r="M32" s="219">
        <v>0</v>
      </c>
      <c r="N32" s="219">
        <f t="shared" si="7"/>
        <v>3</v>
      </c>
      <c r="O32" s="31" t="s">
        <v>12</v>
      </c>
      <c r="P32" s="31"/>
      <c r="Q32" s="31"/>
      <c r="R32" s="494"/>
    </row>
    <row r="33" spans="1:18" ht="24">
      <c r="A33" s="514"/>
      <c r="B33" s="514"/>
      <c r="C33" s="25"/>
      <c r="D33" s="206">
        <v>0</v>
      </c>
      <c r="E33" s="206"/>
      <c r="F33" s="206"/>
      <c r="G33" s="219">
        <v>0</v>
      </c>
      <c r="H33" s="206"/>
      <c r="I33" s="206"/>
      <c r="J33" s="219">
        <v>761.47577999999999</v>
      </c>
      <c r="K33" s="219"/>
      <c r="L33" s="219">
        <v>0</v>
      </c>
      <c r="M33" s="219">
        <v>0</v>
      </c>
      <c r="N33" s="219">
        <f t="shared" si="7"/>
        <v>761.47577999999999</v>
      </c>
      <c r="O33" s="31" t="s">
        <v>8</v>
      </c>
      <c r="P33" s="31"/>
      <c r="Q33" s="31"/>
      <c r="R33" s="494"/>
    </row>
    <row r="34" spans="1:18" ht="24">
      <c r="A34" s="489"/>
      <c r="B34" s="489"/>
      <c r="C34" s="25"/>
      <c r="D34" s="206">
        <v>0</v>
      </c>
      <c r="E34" s="206"/>
      <c r="F34" s="206"/>
      <c r="G34" s="219">
        <v>0</v>
      </c>
      <c r="H34" s="206"/>
      <c r="I34" s="206"/>
      <c r="J34" s="219">
        <v>2699.7777799999999</v>
      </c>
      <c r="K34" s="219"/>
      <c r="L34" s="219">
        <v>0</v>
      </c>
      <c r="M34" s="219">
        <v>0</v>
      </c>
      <c r="N34" s="219">
        <f t="shared" si="7"/>
        <v>2699.7777799999999</v>
      </c>
      <c r="O34" s="31" t="s">
        <v>9</v>
      </c>
      <c r="P34" s="31"/>
      <c r="Q34" s="31"/>
      <c r="R34" s="494"/>
    </row>
    <row r="35" spans="1:18" s="268" customFormat="1" ht="50.25" customHeight="1">
      <c r="A35" s="572">
        <v>2</v>
      </c>
      <c r="B35" s="575" t="s">
        <v>32</v>
      </c>
      <c r="C35" s="214"/>
      <c r="D35" s="215">
        <v>560</v>
      </c>
      <c r="E35" s="215"/>
      <c r="F35" s="215"/>
      <c r="G35" s="222">
        <v>116</v>
      </c>
      <c r="H35" s="215"/>
      <c r="I35" s="215"/>
      <c r="J35" s="222">
        <v>0</v>
      </c>
      <c r="K35" s="222"/>
      <c r="L35" s="222">
        <v>0</v>
      </c>
      <c r="M35" s="222">
        <v>0</v>
      </c>
      <c r="N35" s="219">
        <f t="shared" si="7"/>
        <v>676</v>
      </c>
      <c r="O35" s="267" t="s">
        <v>12</v>
      </c>
      <c r="P35" s="267"/>
      <c r="Q35" s="267"/>
      <c r="R35" s="494"/>
    </row>
    <row r="36" spans="1:18" s="268" customFormat="1" ht="50.25" customHeight="1">
      <c r="A36" s="573"/>
      <c r="B36" s="576"/>
      <c r="C36" s="214"/>
      <c r="D36" s="215">
        <v>1016.4</v>
      </c>
      <c r="E36" s="215"/>
      <c r="F36" s="215"/>
      <c r="G36" s="222">
        <v>600</v>
      </c>
      <c r="H36" s="215"/>
      <c r="I36" s="215"/>
      <c r="J36" s="222">
        <v>0</v>
      </c>
      <c r="K36" s="222"/>
      <c r="L36" s="222">
        <v>0</v>
      </c>
      <c r="M36" s="222">
        <v>0</v>
      </c>
      <c r="N36" s="219">
        <f t="shared" si="7"/>
        <v>1616.4</v>
      </c>
      <c r="O36" s="267" t="s">
        <v>8</v>
      </c>
      <c r="P36" s="267"/>
      <c r="Q36" s="267"/>
      <c r="R36" s="494"/>
    </row>
    <row r="37" spans="1:18" s="268" customFormat="1" ht="85.5" customHeight="1">
      <c r="A37" s="573"/>
      <c r="B37" s="577"/>
      <c r="C37" s="214"/>
      <c r="D37" s="215">
        <v>6692.4</v>
      </c>
      <c r="E37" s="215"/>
      <c r="F37" s="215"/>
      <c r="G37" s="222">
        <v>2257.1999999999998</v>
      </c>
      <c r="H37" s="215"/>
      <c r="I37" s="215"/>
      <c r="J37" s="222">
        <v>0</v>
      </c>
      <c r="K37" s="222"/>
      <c r="L37" s="222">
        <v>0</v>
      </c>
      <c r="M37" s="222">
        <v>0</v>
      </c>
      <c r="N37" s="219">
        <f t="shared" si="7"/>
        <v>8949.5999999999985</v>
      </c>
      <c r="O37" s="267" t="s">
        <v>9</v>
      </c>
      <c r="P37" s="267"/>
      <c r="Q37" s="267"/>
      <c r="R37" s="494"/>
    </row>
    <row r="38" spans="1:18" s="268" customFormat="1" ht="79.5" customHeight="1">
      <c r="A38" s="574"/>
      <c r="B38" s="267" t="s">
        <v>38</v>
      </c>
      <c r="C38" s="214"/>
      <c r="D38" s="215">
        <f>D35+D36+D37</f>
        <v>8268.7999999999993</v>
      </c>
      <c r="E38" s="215">
        <f t="shared" ref="E38:K38" si="10">E35+E36+E37</f>
        <v>0</v>
      </c>
      <c r="F38" s="215">
        <f t="shared" si="10"/>
        <v>0</v>
      </c>
      <c r="G38" s="222">
        <f t="shared" si="10"/>
        <v>2973.2</v>
      </c>
      <c r="H38" s="215">
        <f t="shared" si="10"/>
        <v>0</v>
      </c>
      <c r="I38" s="215">
        <f t="shared" si="10"/>
        <v>0</v>
      </c>
      <c r="J38" s="222">
        <f t="shared" si="10"/>
        <v>0</v>
      </c>
      <c r="K38" s="222">
        <f t="shared" si="10"/>
        <v>0</v>
      </c>
      <c r="L38" s="222">
        <v>0</v>
      </c>
      <c r="M38" s="222">
        <v>0</v>
      </c>
      <c r="N38" s="219">
        <f>D38+G38+J38+L38+M38</f>
        <v>11242</v>
      </c>
      <c r="O38" s="267"/>
      <c r="P38" s="267"/>
      <c r="Q38" s="267" t="s">
        <v>195</v>
      </c>
      <c r="R38" s="494"/>
    </row>
    <row r="39" spans="1:18" ht="37.5" customHeight="1">
      <c r="A39" s="486" t="s">
        <v>48</v>
      </c>
      <c r="B39" s="499" t="s">
        <v>189</v>
      </c>
      <c r="C39" s="25">
        <v>500</v>
      </c>
      <c r="D39" s="206">
        <v>500</v>
      </c>
      <c r="E39" s="206">
        <f t="shared" si="5"/>
        <v>0</v>
      </c>
      <c r="F39" s="206">
        <v>500</v>
      </c>
      <c r="G39" s="219">
        <v>0</v>
      </c>
      <c r="H39" s="206">
        <f t="shared" si="8"/>
        <v>-500</v>
      </c>
      <c r="I39" s="206">
        <v>0</v>
      </c>
      <c r="J39" s="222">
        <v>0</v>
      </c>
      <c r="K39" s="219">
        <f>J32-I39</f>
        <v>3</v>
      </c>
      <c r="L39" s="219">
        <v>0</v>
      </c>
      <c r="M39" s="219">
        <v>0</v>
      </c>
      <c r="N39" s="219">
        <f>D39+G39+J32+L39+M39</f>
        <v>503</v>
      </c>
      <c r="O39" s="31" t="s">
        <v>12</v>
      </c>
      <c r="P39" s="31"/>
      <c r="Q39" s="31"/>
      <c r="R39" s="494"/>
    </row>
    <row r="40" spans="1:18" ht="38.25" customHeight="1">
      <c r="A40" s="496"/>
      <c r="B40" s="500"/>
      <c r="C40" s="25">
        <v>874.6</v>
      </c>
      <c r="D40" s="206">
        <v>874.6</v>
      </c>
      <c r="E40" s="206">
        <f t="shared" si="5"/>
        <v>0</v>
      </c>
      <c r="F40" s="206">
        <v>914.7</v>
      </c>
      <c r="G40" s="219">
        <v>0</v>
      </c>
      <c r="H40" s="206">
        <f t="shared" si="8"/>
        <v>-914.7</v>
      </c>
      <c r="I40" s="206">
        <v>0</v>
      </c>
      <c r="J40" s="222">
        <v>0</v>
      </c>
      <c r="K40" s="219">
        <f>J33-I40</f>
        <v>761.47577999999999</v>
      </c>
      <c r="L40" s="219">
        <v>0</v>
      </c>
      <c r="M40" s="219">
        <v>0</v>
      </c>
      <c r="N40" s="219">
        <f>D40+G40+J33+L40+M40</f>
        <v>1636.0757800000001</v>
      </c>
      <c r="O40" s="31" t="s">
        <v>8</v>
      </c>
      <c r="P40" s="31"/>
      <c r="Q40" s="31"/>
      <c r="R40" s="494"/>
    </row>
    <row r="41" spans="1:18" ht="31.5" customHeight="1">
      <c r="A41" s="496"/>
      <c r="B41" s="500"/>
      <c r="C41" s="25">
        <v>3290.2</v>
      </c>
      <c r="D41" s="206">
        <v>3290.2</v>
      </c>
      <c r="E41" s="206">
        <f t="shared" si="5"/>
        <v>0</v>
      </c>
      <c r="F41" s="206">
        <v>3440.8</v>
      </c>
      <c r="G41" s="219">
        <v>0</v>
      </c>
      <c r="H41" s="206">
        <f t="shared" si="8"/>
        <v>-3440.8</v>
      </c>
      <c r="I41" s="206">
        <v>0</v>
      </c>
      <c r="J41" s="222">
        <v>0</v>
      </c>
      <c r="K41" s="219">
        <f>J34-I41</f>
        <v>2699.7777799999999</v>
      </c>
      <c r="L41" s="219">
        <v>0</v>
      </c>
      <c r="M41" s="219">
        <v>0</v>
      </c>
      <c r="N41" s="219">
        <f>D41+G41+J34+L41+M41</f>
        <v>5989.9777799999993</v>
      </c>
      <c r="O41" s="31" t="s">
        <v>9</v>
      </c>
      <c r="P41" s="31"/>
      <c r="Q41" s="31"/>
      <c r="R41" s="494"/>
    </row>
    <row r="42" spans="1:18" ht="72.75" customHeight="1">
      <c r="A42" s="10"/>
      <c r="B42" s="263" t="s">
        <v>60</v>
      </c>
      <c r="C42" s="25">
        <f>C39+C40+C41</f>
        <v>4664.7999999999993</v>
      </c>
      <c r="D42" s="206">
        <f>D39+D40+D41</f>
        <v>4664.7999999999993</v>
      </c>
      <c r="E42" s="206">
        <f t="shared" si="5"/>
        <v>0</v>
      </c>
      <c r="F42" s="206">
        <f>F39+F40+F41</f>
        <v>4855.5</v>
      </c>
      <c r="G42" s="219">
        <f>G39+G40+G41</f>
        <v>0</v>
      </c>
      <c r="H42" s="206">
        <f t="shared" si="8"/>
        <v>-4855.5</v>
      </c>
      <c r="I42" s="206">
        <f>I39+I40+I41</f>
        <v>0</v>
      </c>
      <c r="J42" s="219">
        <v>0</v>
      </c>
      <c r="K42" s="219">
        <f t="shared" si="6"/>
        <v>0</v>
      </c>
      <c r="L42" s="219">
        <v>0</v>
      </c>
      <c r="M42" s="219">
        <v>0</v>
      </c>
      <c r="N42" s="219">
        <f t="shared" si="7"/>
        <v>4664.7999999999993</v>
      </c>
      <c r="O42" s="31"/>
      <c r="P42" s="31"/>
      <c r="Q42" s="31"/>
      <c r="R42" s="494"/>
    </row>
    <row r="43" spans="1:18" ht="76.5" customHeight="1">
      <c r="A43" s="486" t="s">
        <v>61</v>
      </c>
      <c r="B43" s="500" t="s">
        <v>179</v>
      </c>
      <c r="C43" s="25">
        <v>60</v>
      </c>
      <c r="D43" s="206">
        <v>60</v>
      </c>
      <c r="E43" s="206">
        <f t="shared" si="5"/>
        <v>0</v>
      </c>
      <c r="F43" s="206">
        <v>62</v>
      </c>
      <c r="G43" s="219">
        <v>0</v>
      </c>
      <c r="H43" s="206">
        <f t="shared" si="8"/>
        <v>-62</v>
      </c>
      <c r="I43" s="206">
        <v>0</v>
      </c>
      <c r="J43" s="219">
        <v>0</v>
      </c>
      <c r="K43" s="219">
        <f t="shared" si="6"/>
        <v>0</v>
      </c>
      <c r="L43" s="219">
        <v>0</v>
      </c>
      <c r="M43" s="219">
        <v>0</v>
      </c>
      <c r="N43" s="219">
        <f t="shared" si="7"/>
        <v>60</v>
      </c>
      <c r="O43" s="31" t="s">
        <v>12</v>
      </c>
      <c r="P43" s="31"/>
      <c r="Q43" s="31"/>
      <c r="R43" s="494"/>
    </row>
    <row r="44" spans="1:18" ht="62.25" customHeight="1">
      <c r="A44" s="496"/>
      <c r="B44" s="500"/>
      <c r="C44" s="25">
        <v>141.80000000000001</v>
      </c>
      <c r="D44" s="206">
        <v>141.80000000000001</v>
      </c>
      <c r="E44" s="206">
        <f t="shared" si="5"/>
        <v>0</v>
      </c>
      <c r="F44" s="206">
        <v>147.19999999999999</v>
      </c>
      <c r="G44" s="219">
        <v>0</v>
      </c>
      <c r="H44" s="206">
        <f t="shared" si="8"/>
        <v>-147.19999999999999</v>
      </c>
      <c r="I44" s="206">
        <v>0</v>
      </c>
      <c r="J44" s="219">
        <v>0</v>
      </c>
      <c r="K44" s="219">
        <f t="shared" si="6"/>
        <v>0</v>
      </c>
      <c r="L44" s="219">
        <v>0</v>
      </c>
      <c r="M44" s="219">
        <v>0</v>
      </c>
      <c r="N44" s="219">
        <f t="shared" si="7"/>
        <v>141.80000000000001</v>
      </c>
      <c r="O44" s="31" t="s">
        <v>8</v>
      </c>
      <c r="P44" s="31"/>
      <c r="Q44" s="31"/>
      <c r="R44" s="494"/>
    </row>
    <row r="45" spans="1:18" ht="76.5" customHeight="1">
      <c r="A45" s="496"/>
      <c r="B45" s="500"/>
      <c r="C45" s="25">
        <v>3402.2</v>
      </c>
      <c r="D45" s="206">
        <v>3402.2</v>
      </c>
      <c r="E45" s="206">
        <f t="shared" si="5"/>
        <v>0</v>
      </c>
      <c r="F45" s="206">
        <v>3533</v>
      </c>
      <c r="G45" s="219">
        <v>0</v>
      </c>
      <c r="H45" s="206">
        <f t="shared" si="8"/>
        <v>-3533</v>
      </c>
      <c r="I45" s="206">
        <v>0</v>
      </c>
      <c r="J45" s="219">
        <v>0</v>
      </c>
      <c r="K45" s="219">
        <f t="shared" si="6"/>
        <v>0</v>
      </c>
      <c r="L45" s="219">
        <v>0</v>
      </c>
      <c r="M45" s="219">
        <v>0</v>
      </c>
      <c r="N45" s="219">
        <f t="shared" si="7"/>
        <v>3402.2</v>
      </c>
      <c r="O45" s="31" t="s">
        <v>9</v>
      </c>
      <c r="P45" s="31"/>
      <c r="Q45" s="31"/>
      <c r="R45" s="494"/>
    </row>
    <row r="46" spans="1:18" ht="223.5" customHeight="1">
      <c r="A46" s="10"/>
      <c r="B46" s="263" t="s">
        <v>69</v>
      </c>
      <c r="C46" s="25">
        <f>C43+C44+C45</f>
        <v>3604</v>
      </c>
      <c r="D46" s="206">
        <f t="shared" ref="D46:J46" si="11">D43+D44+D45</f>
        <v>3604</v>
      </c>
      <c r="E46" s="206">
        <f t="shared" si="5"/>
        <v>0</v>
      </c>
      <c r="F46" s="206">
        <f t="shared" si="11"/>
        <v>3742.2</v>
      </c>
      <c r="G46" s="219">
        <v>0</v>
      </c>
      <c r="H46" s="206">
        <f t="shared" si="11"/>
        <v>-3742.2</v>
      </c>
      <c r="I46" s="206">
        <f t="shared" si="11"/>
        <v>0</v>
      </c>
      <c r="J46" s="219">
        <f t="shared" si="11"/>
        <v>0</v>
      </c>
      <c r="K46" s="219">
        <f t="shared" si="6"/>
        <v>0</v>
      </c>
      <c r="L46" s="219">
        <v>0</v>
      </c>
      <c r="M46" s="219">
        <v>0</v>
      </c>
      <c r="N46" s="219">
        <f t="shared" si="7"/>
        <v>3604</v>
      </c>
      <c r="O46" s="31"/>
      <c r="P46" s="31"/>
      <c r="Q46" s="31"/>
      <c r="R46" s="494"/>
    </row>
    <row r="47" spans="1:18" ht="78" customHeight="1">
      <c r="A47" s="501">
        <v>3</v>
      </c>
      <c r="B47" s="488" t="s">
        <v>51</v>
      </c>
      <c r="C47" s="25">
        <v>7251.3</v>
      </c>
      <c r="D47" s="206">
        <v>7506.7</v>
      </c>
      <c r="E47" s="206">
        <f>D47-C47</f>
        <v>255.39999999999964</v>
      </c>
      <c r="F47" s="206">
        <v>6849.6</v>
      </c>
      <c r="G47" s="219">
        <v>10304.700000000001</v>
      </c>
      <c r="H47" s="206">
        <f>G47-F47</f>
        <v>3455.1000000000004</v>
      </c>
      <c r="I47" s="206">
        <v>6849.6</v>
      </c>
      <c r="J47" s="219">
        <f>8194.6+'поясеительная+'!M40</f>
        <v>12333.6</v>
      </c>
      <c r="K47" s="219">
        <f>J47-I47</f>
        <v>5484</v>
      </c>
      <c r="L47" s="219">
        <v>8194.6</v>
      </c>
      <c r="M47" s="219">
        <v>8194.6</v>
      </c>
      <c r="N47" s="219">
        <f>D47+G47+J47+L47+M47</f>
        <v>46534.2</v>
      </c>
      <c r="O47" s="31" t="s">
        <v>12</v>
      </c>
      <c r="P47" s="31" t="s">
        <v>137</v>
      </c>
      <c r="Q47" s="31" t="s">
        <v>159</v>
      </c>
      <c r="R47" s="494"/>
    </row>
    <row r="48" spans="1:18" ht="78" customHeight="1">
      <c r="A48" s="502"/>
      <c r="B48" s="489"/>
      <c r="C48" s="25"/>
      <c r="D48" s="206">
        <v>0</v>
      </c>
      <c r="E48" s="206"/>
      <c r="F48" s="206"/>
      <c r="G48" s="219">
        <v>250</v>
      </c>
      <c r="H48" s="206"/>
      <c r="I48" s="206"/>
      <c r="J48" s="219">
        <v>0</v>
      </c>
      <c r="K48" s="219"/>
      <c r="L48" s="219">
        <v>0</v>
      </c>
      <c r="M48" s="219">
        <v>0</v>
      </c>
      <c r="N48" s="219">
        <f t="shared" si="7"/>
        <v>250</v>
      </c>
      <c r="O48" s="31" t="s">
        <v>8</v>
      </c>
      <c r="P48" s="31"/>
      <c r="Q48" s="31"/>
      <c r="R48" s="494"/>
    </row>
    <row r="49" spans="1:18" ht="57" customHeight="1">
      <c r="A49" s="10">
        <v>4</v>
      </c>
      <c r="B49" s="263" t="s">
        <v>86</v>
      </c>
      <c r="C49" s="25">
        <f>C50+C51</f>
        <v>40000</v>
      </c>
      <c r="D49" s="206">
        <f>D50+D51</f>
        <v>40000</v>
      </c>
      <c r="E49" s="206">
        <f t="shared" ref="E49:F49" si="12">E50+E51</f>
        <v>0</v>
      </c>
      <c r="F49" s="206">
        <f t="shared" si="12"/>
        <v>0</v>
      </c>
      <c r="G49" s="219">
        <v>0</v>
      </c>
      <c r="H49" s="206"/>
      <c r="I49" s="206"/>
      <c r="J49" s="219">
        <v>0</v>
      </c>
      <c r="K49" s="219"/>
      <c r="L49" s="219">
        <v>0</v>
      </c>
      <c r="M49" s="219">
        <v>0</v>
      </c>
      <c r="N49" s="219">
        <f t="shared" si="7"/>
        <v>40000</v>
      </c>
      <c r="O49" s="31"/>
      <c r="P49" s="31"/>
      <c r="Q49" s="31" t="s">
        <v>159</v>
      </c>
      <c r="R49" s="494"/>
    </row>
    <row r="50" spans="1:18" ht="117" customHeight="1">
      <c r="A50" s="497" t="s">
        <v>54</v>
      </c>
      <c r="B50" s="500" t="s">
        <v>182</v>
      </c>
      <c r="C50" s="25">
        <v>40</v>
      </c>
      <c r="D50" s="206">
        <v>40</v>
      </c>
      <c r="E50" s="206"/>
      <c r="F50" s="206">
        <v>0</v>
      </c>
      <c r="G50" s="219">
        <v>0</v>
      </c>
      <c r="H50" s="206"/>
      <c r="I50" s="206">
        <v>0</v>
      </c>
      <c r="J50" s="219">
        <v>0</v>
      </c>
      <c r="K50" s="219"/>
      <c r="L50" s="219">
        <v>0</v>
      </c>
      <c r="M50" s="219">
        <v>0</v>
      </c>
      <c r="N50" s="219">
        <f t="shared" si="7"/>
        <v>40</v>
      </c>
      <c r="O50" s="31" t="str">
        <f>O47</f>
        <v>Бюджет ЗГО</v>
      </c>
      <c r="P50" s="31"/>
      <c r="Q50" s="31"/>
      <c r="R50" s="494"/>
    </row>
    <row r="51" spans="1:18" ht="117" customHeight="1">
      <c r="A51" s="497"/>
      <c r="B51" s="503"/>
      <c r="C51" s="25">
        <v>39960</v>
      </c>
      <c r="D51" s="206">
        <v>39960</v>
      </c>
      <c r="E51" s="206"/>
      <c r="F51" s="206">
        <v>0</v>
      </c>
      <c r="G51" s="219">
        <v>0</v>
      </c>
      <c r="H51" s="206"/>
      <c r="I51" s="206">
        <v>0</v>
      </c>
      <c r="J51" s="219">
        <v>0</v>
      </c>
      <c r="K51" s="219"/>
      <c r="L51" s="219">
        <v>0</v>
      </c>
      <c r="M51" s="219">
        <v>0</v>
      </c>
      <c r="N51" s="219">
        <f t="shared" si="7"/>
        <v>39960</v>
      </c>
      <c r="O51" s="31" t="str">
        <f>O44</f>
        <v>Областной бюджет</v>
      </c>
      <c r="P51" s="31"/>
      <c r="Q51" s="31"/>
      <c r="R51" s="494"/>
    </row>
    <row r="52" spans="1:18" ht="107.25" customHeight="1">
      <c r="A52" s="10">
        <v>5</v>
      </c>
      <c r="B52" s="263" t="s">
        <v>100</v>
      </c>
      <c r="C52" s="25">
        <f>C53+C54</f>
        <v>87588.9</v>
      </c>
      <c r="D52" s="206">
        <f>D53</f>
        <v>84088.9</v>
      </c>
      <c r="E52" s="206">
        <f t="shared" ref="E52:F52" si="13">E53</f>
        <v>0</v>
      </c>
      <c r="F52" s="206">
        <f t="shared" si="13"/>
        <v>0</v>
      </c>
      <c r="G52" s="219">
        <v>0</v>
      </c>
      <c r="H52" s="219">
        <f t="shared" ref="H52:K52" si="14">H53+H54+H55</f>
        <v>0</v>
      </c>
      <c r="I52" s="219">
        <f t="shared" si="14"/>
        <v>0</v>
      </c>
      <c r="J52" s="219">
        <f t="shared" si="14"/>
        <v>0</v>
      </c>
      <c r="K52" s="219">
        <f t="shared" si="14"/>
        <v>0</v>
      </c>
      <c r="L52" s="219">
        <f>L55</f>
        <v>23897.392</v>
      </c>
      <c r="M52" s="219">
        <f>M55</f>
        <v>97318.53</v>
      </c>
      <c r="N52" s="219">
        <f t="shared" si="7"/>
        <v>205304.82199999999</v>
      </c>
      <c r="P52" s="31"/>
      <c r="Q52" s="31" t="s">
        <v>220</v>
      </c>
      <c r="R52" s="494"/>
    </row>
    <row r="53" spans="1:18" ht="140.25" customHeight="1">
      <c r="A53" s="269" t="s">
        <v>123</v>
      </c>
      <c r="B53" s="263" t="s">
        <v>180</v>
      </c>
      <c r="C53" s="25">
        <f>87588.9-3500</f>
        <v>84088.9</v>
      </c>
      <c r="D53" s="206">
        <v>84088.9</v>
      </c>
      <c r="E53" s="206"/>
      <c r="F53" s="206">
        <v>0</v>
      </c>
      <c r="G53" s="219">
        <v>590</v>
      </c>
      <c r="H53" s="206"/>
      <c r="I53" s="206">
        <v>0</v>
      </c>
      <c r="J53" s="219">
        <v>0</v>
      </c>
      <c r="K53" s="219"/>
      <c r="L53" s="219">
        <v>0</v>
      </c>
      <c r="M53" s="219">
        <v>0</v>
      </c>
      <c r="N53" s="219">
        <f>D53+G53+J53+L53+M53</f>
        <v>84678.9</v>
      </c>
      <c r="O53" s="31" t="s">
        <v>99</v>
      </c>
      <c r="P53" s="31"/>
      <c r="Q53" s="31" t="s">
        <v>159</v>
      </c>
      <c r="R53" s="494"/>
    </row>
    <row r="54" spans="1:18" ht="39" customHeight="1">
      <c r="A54" s="497" t="s">
        <v>124</v>
      </c>
      <c r="B54" s="500" t="s">
        <v>208</v>
      </c>
      <c r="C54" s="25">
        <v>3500</v>
      </c>
      <c r="D54" s="206">
        <v>0</v>
      </c>
      <c r="E54" s="206"/>
      <c r="F54" s="206">
        <v>0</v>
      </c>
      <c r="G54" s="219">
        <v>0</v>
      </c>
      <c r="H54" s="206"/>
      <c r="I54" s="206">
        <v>0</v>
      </c>
      <c r="J54" s="219">
        <v>0</v>
      </c>
      <c r="K54" s="219"/>
      <c r="L54" s="219">
        <v>32.4</v>
      </c>
      <c r="M54" s="219">
        <v>97.32</v>
      </c>
      <c r="N54" s="219">
        <f t="shared" si="7"/>
        <v>129.72</v>
      </c>
      <c r="O54" s="31" t="s">
        <v>99</v>
      </c>
      <c r="P54" s="31"/>
      <c r="Q54" s="504" t="s">
        <v>221</v>
      </c>
      <c r="R54" s="494"/>
    </row>
    <row r="55" spans="1:18" ht="78.75" customHeight="1">
      <c r="A55" s="487"/>
      <c r="B55" s="503"/>
      <c r="C55" s="25"/>
      <c r="D55" s="206">
        <v>0</v>
      </c>
      <c r="E55" s="206"/>
      <c r="F55" s="206"/>
      <c r="G55" s="219">
        <v>0</v>
      </c>
      <c r="H55" s="206"/>
      <c r="I55" s="206"/>
      <c r="J55" s="219">
        <v>0</v>
      </c>
      <c r="K55" s="219"/>
      <c r="L55" s="219">
        <f>23897.392</f>
        <v>23897.392</v>
      </c>
      <c r="M55" s="219">
        <v>97318.53</v>
      </c>
      <c r="N55" s="219">
        <f>D55+G55+J55+L55+M55</f>
        <v>121215.92199999999</v>
      </c>
      <c r="O55" s="31" t="s">
        <v>133</v>
      </c>
      <c r="P55" s="31"/>
      <c r="Q55" s="492"/>
      <c r="R55" s="494"/>
    </row>
    <row r="56" spans="1:18" s="272" customFormat="1" ht="40.5" customHeight="1">
      <c r="A56" s="241"/>
      <c r="B56" s="10" t="s">
        <v>20</v>
      </c>
      <c r="C56" s="37" t="e">
        <f>C17+#REF!+C47+C50+C53+C54</f>
        <v>#REF!</v>
      </c>
      <c r="D56" s="206">
        <f>D17+D35+D47+D50+D53</f>
        <v>120970.09999999999</v>
      </c>
      <c r="E56" s="206" t="e">
        <f>E17+#REF!+E47+E50+E53</f>
        <v>#REF!</v>
      </c>
      <c r="F56" s="206" t="e">
        <f>F17+#REF!+F47+F50+F53</f>
        <v>#REF!</v>
      </c>
      <c r="G56" s="219">
        <v>62273.241000000002</v>
      </c>
      <c r="H56" s="206" t="e">
        <f>H17+#REF!+H47+H50+H53</f>
        <v>#REF!</v>
      </c>
      <c r="I56" s="206" t="e">
        <f>I17+#REF!+I47+I50+I53</f>
        <v>#REF!</v>
      </c>
      <c r="J56" s="219">
        <f>J17+J47+J50+J52</f>
        <v>48378.549999999996</v>
      </c>
      <c r="K56" s="219">
        <f>K17+K47+K50+K52</f>
        <v>5484</v>
      </c>
      <c r="L56" s="219">
        <f>L17+L47+L50</f>
        <v>43219.1</v>
      </c>
      <c r="M56" s="219">
        <f>M17+M47+M50</f>
        <v>43219.199999999997</v>
      </c>
      <c r="N56" s="219">
        <f>D56+G56+J56+L56+M56</f>
        <v>318060.19099999999</v>
      </c>
      <c r="O56" s="241"/>
      <c r="P56" s="271"/>
      <c r="Q56" s="271"/>
      <c r="R56" s="45"/>
    </row>
    <row r="57" spans="1:18" s="272" customFormat="1" ht="53.25" customHeight="1">
      <c r="A57" s="273"/>
      <c r="B57" s="31" t="s">
        <v>21</v>
      </c>
      <c r="C57" s="37" t="e">
        <f>C18+C51+#REF!</f>
        <v>#REF!</v>
      </c>
      <c r="D57" s="206">
        <f>D18+D51+D36</f>
        <v>43810.9</v>
      </c>
      <c r="E57" s="206" t="e">
        <f>E18+E51+#REF!</f>
        <v>#REF!</v>
      </c>
      <c r="F57" s="206" t="e">
        <f>F18+F51+#REF!</f>
        <v>#REF!</v>
      </c>
      <c r="G57" s="219">
        <v>3584.7</v>
      </c>
      <c r="H57" s="206" t="e">
        <f>H18+H51+#REF!</f>
        <v>#REF!</v>
      </c>
      <c r="I57" s="206" t="e">
        <f>I18+I51+#REF!</f>
        <v>#REF!</v>
      </c>
      <c r="J57" s="219">
        <f>J18</f>
        <v>3426.4532799999997</v>
      </c>
      <c r="K57" s="219">
        <f>K18</f>
        <v>841.95327999999995</v>
      </c>
      <c r="L57" s="219">
        <f>L18+L55</f>
        <v>26562.369500000001</v>
      </c>
      <c r="M57" s="219">
        <f>M18+M55</f>
        <v>99983.507499999992</v>
      </c>
      <c r="N57" s="219">
        <f t="shared" ref="N57:N59" si="15">D57+G57+J57+L57+M57</f>
        <v>177367.93027999997</v>
      </c>
      <c r="O57" s="241"/>
      <c r="P57" s="271"/>
      <c r="Q57" s="271"/>
      <c r="R57" s="274"/>
    </row>
    <row r="58" spans="1:18" s="272" customFormat="1" ht="45" customHeight="1">
      <c r="A58" s="241"/>
      <c r="B58" s="31" t="s">
        <v>9</v>
      </c>
      <c r="C58" s="37" t="e">
        <f>#REF!</f>
        <v>#REF!</v>
      </c>
      <c r="D58" s="206">
        <f>D37</f>
        <v>6692.4</v>
      </c>
      <c r="E58" s="206" t="e">
        <f>#REF!</f>
        <v>#REF!</v>
      </c>
      <c r="F58" s="206" t="e">
        <f>#REF!</f>
        <v>#REF!</v>
      </c>
      <c r="G58" s="219">
        <v>2257.1999999999998</v>
      </c>
      <c r="H58" s="206" t="e">
        <f>#REF!</f>
        <v>#REF!</v>
      </c>
      <c r="I58" s="206" t="e">
        <f>#REF!</f>
        <v>#REF!</v>
      </c>
      <c r="J58" s="219">
        <f>J19</f>
        <v>2699.7777799999999</v>
      </c>
      <c r="K58" s="219">
        <f>K19</f>
        <v>0</v>
      </c>
      <c r="L58" s="219">
        <f>L19</f>
        <v>0</v>
      </c>
      <c r="M58" s="219">
        <f>M19</f>
        <v>0</v>
      </c>
      <c r="N58" s="219">
        <f t="shared" si="15"/>
        <v>11649.377779999999</v>
      </c>
      <c r="O58" s="241"/>
      <c r="P58" s="271"/>
      <c r="Q58" s="271"/>
      <c r="R58" s="241"/>
    </row>
    <row r="59" spans="1:18" s="272" customFormat="1" ht="53.25" customHeight="1">
      <c r="A59" s="241"/>
      <c r="B59" s="10" t="s">
        <v>22</v>
      </c>
      <c r="C59" s="37" t="e">
        <f>C56+C57+C58</f>
        <v>#REF!</v>
      </c>
      <c r="D59" s="206">
        <f t="shared" ref="D59:H59" si="16">D56+D57+D58</f>
        <v>171473.4</v>
      </c>
      <c r="E59" s="206" t="e">
        <f t="shared" si="16"/>
        <v>#REF!</v>
      </c>
      <c r="F59" s="206" t="e">
        <f t="shared" si="16"/>
        <v>#REF!</v>
      </c>
      <c r="G59" s="219">
        <f>G56+G57+G58</f>
        <v>68115.141000000003</v>
      </c>
      <c r="H59" s="206" t="e">
        <f t="shared" si="16"/>
        <v>#REF!</v>
      </c>
      <c r="I59" s="206" t="e">
        <f>I56+I57+I58</f>
        <v>#REF!</v>
      </c>
      <c r="J59" s="219">
        <f>J56+J57+J58</f>
        <v>54504.781059999994</v>
      </c>
      <c r="K59" s="219">
        <f t="shared" ref="K59:M59" si="17">K56+K57+K58</f>
        <v>6325.9532799999997</v>
      </c>
      <c r="L59" s="219">
        <f t="shared" si="17"/>
        <v>69781.469500000007</v>
      </c>
      <c r="M59" s="219">
        <f t="shared" si="17"/>
        <v>143202.70749999999</v>
      </c>
      <c r="N59" s="219">
        <f t="shared" si="15"/>
        <v>507077.49905999994</v>
      </c>
      <c r="O59" s="239"/>
      <c r="P59" s="274"/>
      <c r="Q59" s="274"/>
      <c r="R59" s="275"/>
    </row>
    <row r="60" spans="1:18" s="272" customFormat="1" ht="51.75" hidden="1" customHeight="1">
      <c r="A60" s="241"/>
      <c r="B60" s="10" t="s">
        <v>205</v>
      </c>
      <c r="C60" s="37"/>
      <c r="D60" s="206">
        <v>171473.4</v>
      </c>
      <c r="E60" s="206"/>
      <c r="F60" s="206"/>
      <c r="G60" s="206">
        <v>89438.2</v>
      </c>
      <c r="H60" s="206"/>
      <c r="I60" s="206"/>
      <c r="J60" s="206">
        <v>54504.781060000001</v>
      </c>
      <c r="K60" s="206"/>
      <c r="L60" s="206">
        <v>69781.469500000007</v>
      </c>
      <c r="M60" s="206">
        <v>143202.70749999999</v>
      </c>
      <c r="N60" s="206"/>
      <c r="O60" s="239"/>
      <c r="P60" s="274"/>
      <c r="Q60" s="274"/>
      <c r="R60" s="275"/>
    </row>
    <row r="61" spans="1:18" s="272" customFormat="1" ht="51.75" hidden="1" customHeight="1">
      <c r="A61" s="241"/>
      <c r="B61" s="10" t="s">
        <v>132</v>
      </c>
      <c r="C61" s="37"/>
      <c r="D61" s="206">
        <f>D60-D59</f>
        <v>0</v>
      </c>
      <c r="E61" s="206"/>
      <c r="F61" s="206"/>
      <c r="G61" s="206">
        <f>G60-G59</f>
        <v>21323.058999999994</v>
      </c>
      <c r="H61" s="206"/>
      <c r="I61" s="206"/>
      <c r="J61" s="206">
        <f t="shared" ref="J61" si="18">J60-J59</f>
        <v>0</v>
      </c>
      <c r="K61" s="206"/>
      <c r="L61" s="206">
        <f>L60-L59</f>
        <v>0</v>
      </c>
      <c r="M61" s="206">
        <f>M60-M59</f>
        <v>0</v>
      </c>
      <c r="N61" s="206"/>
      <c r="O61" s="239"/>
      <c r="P61" s="274"/>
      <c r="Q61" s="274"/>
      <c r="R61" s="275"/>
    </row>
    <row r="62" spans="1:18" s="259" customFormat="1" ht="58.5" customHeight="1">
      <c r="A62" s="496" t="s">
        <v>23</v>
      </c>
      <c r="B62" s="496"/>
      <c r="C62" s="496"/>
      <c r="D62" s="496"/>
      <c r="E62" s="496"/>
      <c r="F62" s="496"/>
      <c r="G62" s="496"/>
      <c r="H62" s="496"/>
      <c r="I62" s="496"/>
      <c r="J62" s="496"/>
      <c r="K62" s="496"/>
      <c r="L62" s="496"/>
      <c r="M62" s="496"/>
      <c r="N62" s="496"/>
      <c r="O62" s="496"/>
      <c r="P62" s="496"/>
      <c r="Q62" s="496"/>
      <c r="R62" s="496"/>
    </row>
    <row r="63" spans="1:18" s="276" customFormat="1" ht="70.5" customHeight="1">
      <c r="A63" s="493" t="s">
        <v>56</v>
      </c>
      <c r="B63" s="493"/>
      <c r="C63" s="493"/>
      <c r="D63" s="493"/>
      <c r="E63" s="493"/>
      <c r="F63" s="493"/>
      <c r="G63" s="493"/>
      <c r="H63" s="493"/>
      <c r="I63" s="493"/>
      <c r="J63" s="493"/>
      <c r="K63" s="493"/>
      <c r="L63" s="493"/>
      <c r="M63" s="493"/>
      <c r="N63" s="493"/>
      <c r="O63" s="493"/>
      <c r="P63" s="493"/>
      <c r="Q63" s="493"/>
      <c r="R63" s="494" t="s">
        <v>122</v>
      </c>
    </row>
    <row r="64" spans="1:18" s="276" customFormat="1" ht="47.25" customHeight="1">
      <c r="A64" s="495" t="s">
        <v>50</v>
      </c>
      <c r="B64" s="495"/>
      <c r="C64" s="495"/>
      <c r="D64" s="495"/>
      <c r="E64" s="495"/>
      <c r="F64" s="495"/>
      <c r="G64" s="495"/>
      <c r="H64" s="495"/>
      <c r="I64" s="495"/>
      <c r="J64" s="495"/>
      <c r="K64" s="495"/>
      <c r="L64" s="495"/>
      <c r="M64" s="495"/>
      <c r="N64" s="495"/>
      <c r="O64" s="495"/>
      <c r="P64" s="495"/>
      <c r="Q64" s="495"/>
      <c r="R64" s="494"/>
    </row>
    <row r="65" spans="1:18" ht="102.75" customHeight="1">
      <c r="A65" s="10">
        <v>6</v>
      </c>
      <c r="B65" s="31" t="s">
        <v>34</v>
      </c>
      <c r="C65" s="46">
        <f>C66+C67+C68+C69+C70+C71+C72+C73+C74+C75+C76+C77+C78+C79+C80+C81+C82+C83+C84</f>
        <v>392936.81</v>
      </c>
      <c r="D65" s="206">
        <f>D66+D67+D68+D69+D70+D71+D72+D73+D74+D75+D76+D77+D78+D79+D80+D81+D82+D83+D84</f>
        <v>431644.31</v>
      </c>
      <c r="E65" s="206">
        <f>D65-C65</f>
        <v>38707.5</v>
      </c>
      <c r="F65" s="206">
        <f>F91</f>
        <v>225157.4</v>
      </c>
      <c r="G65" s="219">
        <f>G66+G67+G68+G69+G70+G71+G72+G73+G74+G75+G76+G77+G78+G79+G80+G82+G83+G81+G84+G85+G86+G87+G88</f>
        <v>597252.60576000006</v>
      </c>
      <c r="H65" s="206">
        <f>H91</f>
        <v>477459.15575999999</v>
      </c>
      <c r="I65" s="206">
        <f>I91</f>
        <v>225157.4</v>
      </c>
      <c r="J65" s="219">
        <f>J66+J67+J68+J69+J70+J71+J72+J73+J74+J75+J76+J77+J78+J79+J80+J81+J82+J83+J84+J85+J86+J87+J88</f>
        <v>355379.01821000001</v>
      </c>
      <c r="K65" s="219">
        <f t="shared" ref="K65:M65" si="19">K66+K67+K68+K69+K70+K71+K72+K73+K74+K75+K76+K77+K78+K79+K80+K81+K82+K83+K84+K85+K86+K87+K88</f>
        <v>129261.99821000006</v>
      </c>
      <c r="L65" s="219">
        <f t="shared" si="19"/>
        <v>301362.49999999994</v>
      </c>
      <c r="M65" s="219">
        <f t="shared" si="19"/>
        <v>301362.49999999994</v>
      </c>
      <c r="N65" s="219">
        <f>D65+G65+J65+L65+M65</f>
        <v>1987000.9339700001</v>
      </c>
      <c r="O65" s="31"/>
      <c r="P65" s="31"/>
      <c r="Q65" s="31" t="s">
        <v>159</v>
      </c>
      <c r="R65" s="494"/>
    </row>
    <row r="66" spans="1:18" ht="85.5" customHeight="1">
      <c r="A66" s="265" t="s">
        <v>145</v>
      </c>
      <c r="B66" s="31" t="s">
        <v>168</v>
      </c>
      <c r="C66" s="46">
        <f>280315.1-C69</f>
        <v>265773.09999999998</v>
      </c>
      <c r="D66" s="206">
        <f>431644.31-149979.36</f>
        <v>281664.95</v>
      </c>
      <c r="E66" s="206">
        <f>D66-C66</f>
        <v>15891.850000000035</v>
      </c>
      <c r="F66" s="206">
        <f>207874.7-F69</f>
        <v>195457</v>
      </c>
      <c r="G66" s="219">
        <v>288637.95</v>
      </c>
      <c r="H66" s="206">
        <f>207874.7-H69</f>
        <v>198544.90000000002</v>
      </c>
      <c r="I66" s="206">
        <f>207874.7-I69</f>
        <v>195457</v>
      </c>
      <c r="J66" s="219">
        <f>274810.28+135.732</f>
        <v>274946.01200000005</v>
      </c>
      <c r="K66" s="219">
        <f t="shared" ref="K66:K82" si="20">J66-I66</f>
        <v>79489.012000000046</v>
      </c>
      <c r="L66" s="219">
        <v>266364.5</v>
      </c>
      <c r="M66" s="219">
        <v>266364.5</v>
      </c>
      <c r="N66" s="219">
        <f t="shared" ref="N66:N98" si="21">D66+G66+J66+L66+M66</f>
        <v>1377977.912</v>
      </c>
      <c r="O66" s="31" t="s">
        <v>12</v>
      </c>
      <c r="P66" s="31" t="s">
        <v>129</v>
      </c>
      <c r="Q66" s="31"/>
      <c r="R66" s="494"/>
    </row>
    <row r="67" spans="1:18" ht="69" customHeight="1">
      <c r="A67" s="265" t="s">
        <v>146</v>
      </c>
      <c r="B67" s="31" t="s">
        <v>35</v>
      </c>
      <c r="C67" s="46">
        <v>87783.58</v>
      </c>
      <c r="D67" s="206">
        <v>107807.03</v>
      </c>
      <c r="E67" s="206">
        <f t="shared" ref="E67:E91" si="22">D67-C67</f>
        <v>20023.449999999997</v>
      </c>
      <c r="F67" s="206">
        <v>4172.5</v>
      </c>
      <c r="G67" s="219">
        <v>167317.48965999999</v>
      </c>
      <c r="H67" s="206">
        <f>G67-F67</f>
        <v>163144.98965999999</v>
      </c>
      <c r="I67" s="206">
        <v>4172.5</v>
      </c>
      <c r="J67" s="219">
        <v>32270.560310000001</v>
      </c>
      <c r="K67" s="219">
        <f t="shared" si="20"/>
        <v>28098.060310000001</v>
      </c>
      <c r="L67" s="219">
        <v>0</v>
      </c>
      <c r="M67" s="219">
        <v>0</v>
      </c>
      <c r="N67" s="219">
        <f t="shared" si="21"/>
        <v>307395.07996999996</v>
      </c>
      <c r="O67" s="31" t="s">
        <v>12</v>
      </c>
      <c r="P67" s="31" t="s">
        <v>138</v>
      </c>
      <c r="Q67" s="31"/>
      <c r="R67" s="494"/>
    </row>
    <row r="68" spans="1:18" ht="142.5" customHeight="1">
      <c r="A68" s="265" t="s">
        <v>147</v>
      </c>
      <c r="B68" s="31" t="s">
        <v>169</v>
      </c>
      <c r="C68" s="46">
        <v>3000</v>
      </c>
      <c r="D68" s="206">
        <v>3000</v>
      </c>
      <c r="E68" s="206">
        <f t="shared" si="22"/>
        <v>0</v>
      </c>
      <c r="F68" s="206">
        <v>4500</v>
      </c>
      <c r="G68" s="219">
        <v>3600</v>
      </c>
      <c r="H68" s="206">
        <f t="shared" ref="H68:H71" si="23">G68-F68</f>
        <v>-900</v>
      </c>
      <c r="I68" s="206">
        <v>4500</v>
      </c>
      <c r="J68" s="219">
        <v>0</v>
      </c>
      <c r="K68" s="219">
        <f>J68-I68</f>
        <v>-4500</v>
      </c>
      <c r="L68" s="219">
        <v>0</v>
      </c>
      <c r="M68" s="219">
        <v>0</v>
      </c>
      <c r="N68" s="219">
        <f t="shared" si="21"/>
        <v>6600</v>
      </c>
      <c r="O68" s="31" t="s">
        <v>12</v>
      </c>
      <c r="P68" s="31"/>
      <c r="Q68" s="31"/>
      <c r="R68" s="494"/>
    </row>
    <row r="69" spans="1:18" ht="55.5" customHeight="1">
      <c r="A69" s="265" t="s">
        <v>148</v>
      </c>
      <c r="B69" s="31" t="s">
        <v>170</v>
      </c>
      <c r="C69" s="28">
        <v>14542</v>
      </c>
      <c r="D69" s="206">
        <v>15347.3</v>
      </c>
      <c r="E69" s="206">
        <f t="shared" si="22"/>
        <v>805.29999999999927</v>
      </c>
      <c r="F69" s="206">
        <v>12417.7</v>
      </c>
      <c r="G69" s="219">
        <v>21747.5</v>
      </c>
      <c r="H69" s="206">
        <f t="shared" si="23"/>
        <v>9329.7999999999993</v>
      </c>
      <c r="I69" s="206">
        <v>12417.7</v>
      </c>
      <c r="J69" s="219">
        <v>24787.01</v>
      </c>
      <c r="K69" s="219">
        <f>J69-I69</f>
        <v>12369.309999999998</v>
      </c>
      <c r="L69" s="219">
        <v>21747.5</v>
      </c>
      <c r="M69" s="219">
        <v>21747.5</v>
      </c>
      <c r="N69" s="219">
        <f t="shared" si="21"/>
        <v>105376.81</v>
      </c>
      <c r="O69" s="31" t="s">
        <v>12</v>
      </c>
      <c r="P69" s="31" t="s">
        <v>139</v>
      </c>
      <c r="Q69" s="31"/>
      <c r="R69" s="494"/>
    </row>
    <row r="70" spans="1:18" ht="105.75" customHeight="1">
      <c r="A70" s="265" t="s">
        <v>149</v>
      </c>
      <c r="B70" s="31" t="s">
        <v>171</v>
      </c>
      <c r="C70" s="46">
        <v>13204.93</v>
      </c>
      <c r="D70" s="206">
        <v>14801.83</v>
      </c>
      <c r="E70" s="206">
        <f t="shared" si="22"/>
        <v>1596.8999999999996</v>
      </c>
      <c r="F70" s="206">
        <f>'не актуально .'!F75</f>
        <v>0</v>
      </c>
      <c r="G70" s="219">
        <v>102885.9071</v>
      </c>
      <c r="H70" s="206">
        <f t="shared" si="23"/>
        <v>102885.9071</v>
      </c>
      <c r="I70" s="206">
        <f>'не актуально .'!I75</f>
        <v>0</v>
      </c>
      <c r="J70" s="219">
        <v>8636.3459000000003</v>
      </c>
      <c r="K70" s="219">
        <f t="shared" si="20"/>
        <v>8636.3459000000003</v>
      </c>
      <c r="L70" s="219">
        <v>0</v>
      </c>
      <c r="M70" s="219"/>
      <c r="N70" s="219">
        <f t="shared" si="21"/>
        <v>126324.083</v>
      </c>
      <c r="O70" s="31" t="s">
        <v>12</v>
      </c>
      <c r="P70" s="31" t="s">
        <v>140</v>
      </c>
      <c r="Q70" s="31"/>
      <c r="R70" s="494"/>
    </row>
    <row r="71" spans="1:18" ht="36" customHeight="1">
      <c r="A71" s="486" t="s">
        <v>150</v>
      </c>
      <c r="B71" s="490" t="s">
        <v>183</v>
      </c>
      <c r="C71" s="46">
        <v>100</v>
      </c>
      <c r="D71" s="206">
        <v>100</v>
      </c>
      <c r="E71" s="206">
        <f t="shared" si="22"/>
        <v>0</v>
      </c>
      <c r="F71" s="206">
        <v>100</v>
      </c>
      <c r="G71" s="219">
        <v>1921.5</v>
      </c>
      <c r="H71" s="206">
        <f t="shared" si="23"/>
        <v>1821.5</v>
      </c>
      <c r="I71" s="206">
        <v>100</v>
      </c>
      <c r="J71" s="219">
        <v>2101.35</v>
      </c>
      <c r="K71" s="219">
        <f t="shared" si="20"/>
        <v>2001.35</v>
      </c>
      <c r="L71" s="219">
        <v>5</v>
      </c>
      <c r="M71" s="219">
        <v>5</v>
      </c>
      <c r="N71" s="219">
        <f t="shared" si="21"/>
        <v>4132.8500000000004</v>
      </c>
      <c r="O71" s="31" t="s">
        <v>12</v>
      </c>
      <c r="P71" s="31"/>
      <c r="Q71" s="31"/>
      <c r="R71" s="494"/>
    </row>
    <row r="72" spans="1:18" ht="59.25" customHeight="1">
      <c r="A72" s="487"/>
      <c r="B72" s="490"/>
      <c r="C72" s="46">
        <v>2355</v>
      </c>
      <c r="D72" s="206">
        <v>2745</v>
      </c>
      <c r="E72" s="206">
        <f t="shared" si="22"/>
        <v>390</v>
      </c>
      <c r="F72" s="206">
        <v>2355</v>
      </c>
      <c r="G72" s="219">
        <v>4689.8999999999996</v>
      </c>
      <c r="H72" s="206">
        <f>G72-F72</f>
        <v>2334.8999999999996</v>
      </c>
      <c r="I72" s="206">
        <v>2355</v>
      </c>
      <c r="J72" s="219">
        <v>4643.25</v>
      </c>
      <c r="K72" s="219">
        <f t="shared" si="20"/>
        <v>2288.25</v>
      </c>
      <c r="L72" s="219">
        <v>4643.25</v>
      </c>
      <c r="M72" s="219">
        <v>4643.25</v>
      </c>
      <c r="N72" s="219">
        <f t="shared" si="21"/>
        <v>21364.65</v>
      </c>
      <c r="O72" s="31" t="s">
        <v>8</v>
      </c>
      <c r="P72" s="31" t="s">
        <v>141</v>
      </c>
      <c r="Q72" s="31"/>
      <c r="R72" s="494"/>
    </row>
    <row r="73" spans="1:18" ht="37.5" customHeight="1">
      <c r="A73" s="486" t="s">
        <v>151</v>
      </c>
      <c r="B73" s="490" t="s">
        <v>172</v>
      </c>
      <c r="C73" s="46">
        <v>352.2</v>
      </c>
      <c r="D73" s="206">
        <v>352.2</v>
      </c>
      <c r="E73" s="206">
        <f t="shared" si="22"/>
        <v>0</v>
      </c>
      <c r="F73" s="206">
        <v>352.2</v>
      </c>
      <c r="G73" s="219">
        <v>352.2</v>
      </c>
      <c r="H73" s="206">
        <f t="shared" ref="H73:H88" si="24">G73-F73</f>
        <v>0</v>
      </c>
      <c r="I73" s="206">
        <v>352.2</v>
      </c>
      <c r="J73" s="219">
        <v>831.4</v>
      </c>
      <c r="K73" s="219">
        <f t="shared" si="20"/>
        <v>479.2</v>
      </c>
      <c r="L73" s="219">
        <f>J73</f>
        <v>831.4</v>
      </c>
      <c r="M73" s="219">
        <f>L73</f>
        <v>831.4</v>
      </c>
      <c r="N73" s="219">
        <f t="shared" si="21"/>
        <v>3198.6</v>
      </c>
      <c r="O73" s="31" t="s">
        <v>12</v>
      </c>
      <c r="P73" s="31"/>
      <c r="Q73" s="31"/>
      <c r="R73" s="494"/>
    </row>
    <row r="74" spans="1:18" ht="64.5" customHeight="1">
      <c r="A74" s="487"/>
      <c r="B74" s="490"/>
      <c r="C74" s="46">
        <v>1761</v>
      </c>
      <c r="D74" s="206">
        <v>1761</v>
      </c>
      <c r="E74" s="206">
        <f t="shared" si="22"/>
        <v>0</v>
      </c>
      <c r="F74" s="206">
        <v>1761</v>
      </c>
      <c r="G74" s="219">
        <v>1804</v>
      </c>
      <c r="H74" s="206">
        <f t="shared" si="24"/>
        <v>43</v>
      </c>
      <c r="I74" s="206">
        <v>1761</v>
      </c>
      <c r="J74" s="219">
        <v>2485.4499999999998</v>
      </c>
      <c r="K74" s="219">
        <f t="shared" si="20"/>
        <v>724.44999999999982</v>
      </c>
      <c r="L74" s="219">
        <v>2485.4499999999998</v>
      </c>
      <c r="M74" s="219">
        <v>2485.4499999999998</v>
      </c>
      <c r="N74" s="219">
        <f t="shared" si="21"/>
        <v>11021.349999999999</v>
      </c>
      <c r="O74" s="31" t="s">
        <v>8</v>
      </c>
      <c r="P74" s="31"/>
      <c r="Q74" s="31"/>
      <c r="R74" s="494"/>
    </row>
    <row r="75" spans="1:18" ht="47.25" customHeight="1">
      <c r="A75" s="486" t="s">
        <v>152</v>
      </c>
      <c r="B75" s="490" t="s">
        <v>158</v>
      </c>
      <c r="C75" s="46">
        <v>117.4</v>
      </c>
      <c r="D75" s="206">
        <v>117.4</v>
      </c>
      <c r="E75" s="206">
        <f t="shared" si="22"/>
        <v>0</v>
      </c>
      <c r="F75" s="206">
        <v>117.4</v>
      </c>
      <c r="G75" s="219">
        <v>117.4</v>
      </c>
      <c r="H75" s="206">
        <f t="shared" si="24"/>
        <v>0</v>
      </c>
      <c r="I75" s="206">
        <v>117.4</v>
      </c>
      <c r="J75" s="219">
        <v>69.150000000000006</v>
      </c>
      <c r="K75" s="219">
        <f t="shared" si="20"/>
        <v>-48.25</v>
      </c>
      <c r="L75" s="219">
        <v>69.150000000000006</v>
      </c>
      <c r="M75" s="219">
        <v>69.150000000000006</v>
      </c>
      <c r="N75" s="219">
        <f>D75+G75+J75+L75+M75</f>
        <v>442.25</v>
      </c>
      <c r="O75" s="31" t="s">
        <v>12</v>
      </c>
      <c r="P75" s="31"/>
      <c r="Q75" s="31"/>
      <c r="R75" s="494"/>
    </row>
    <row r="76" spans="1:18" ht="84.75" customHeight="1">
      <c r="A76" s="487"/>
      <c r="B76" s="491"/>
      <c r="C76" s="46">
        <v>528.29999999999995</v>
      </c>
      <c r="D76" s="206">
        <v>528.29999999999995</v>
      </c>
      <c r="E76" s="206">
        <f t="shared" si="22"/>
        <v>0</v>
      </c>
      <c r="F76" s="206">
        <v>528.29999999999995</v>
      </c>
      <c r="G76" s="219">
        <v>631.4</v>
      </c>
      <c r="H76" s="206">
        <f t="shared" si="24"/>
        <v>103.10000000000002</v>
      </c>
      <c r="I76" s="206">
        <v>528.29999999999995</v>
      </c>
      <c r="J76" s="219">
        <v>207.12</v>
      </c>
      <c r="K76" s="219">
        <f t="shared" si="20"/>
        <v>-321.17999999999995</v>
      </c>
      <c r="L76" s="219">
        <v>207.12</v>
      </c>
      <c r="M76" s="219">
        <v>207.12</v>
      </c>
      <c r="N76" s="219">
        <f t="shared" si="21"/>
        <v>1781.0599999999995</v>
      </c>
      <c r="O76" s="31" t="s">
        <v>8</v>
      </c>
      <c r="P76" s="31"/>
      <c r="Q76" s="31"/>
      <c r="R76" s="494"/>
    </row>
    <row r="77" spans="1:18" ht="47.25" customHeight="1">
      <c r="A77" s="486" t="s">
        <v>153</v>
      </c>
      <c r="B77" s="490" t="s">
        <v>167</v>
      </c>
      <c r="C77" s="46">
        <v>293.5</v>
      </c>
      <c r="D77" s="206">
        <v>293.5</v>
      </c>
      <c r="E77" s="206">
        <f t="shared" si="22"/>
        <v>0</v>
      </c>
      <c r="F77" s="206">
        <v>293.5</v>
      </c>
      <c r="G77" s="219">
        <v>293.5</v>
      </c>
      <c r="H77" s="206">
        <f t="shared" si="24"/>
        <v>0</v>
      </c>
      <c r="I77" s="206">
        <v>293.5</v>
      </c>
      <c r="J77" s="219">
        <v>276.55</v>
      </c>
      <c r="K77" s="219">
        <f t="shared" si="20"/>
        <v>-16.949999999999989</v>
      </c>
      <c r="L77" s="219">
        <v>276.55</v>
      </c>
      <c r="M77" s="219">
        <v>276.55</v>
      </c>
      <c r="N77" s="219">
        <f t="shared" si="21"/>
        <v>1416.6499999999999</v>
      </c>
      <c r="O77" s="31" t="s">
        <v>12</v>
      </c>
      <c r="P77" s="31"/>
      <c r="Q77" s="31"/>
      <c r="R77" s="494"/>
    </row>
    <row r="78" spans="1:18" ht="62.25" customHeight="1">
      <c r="A78" s="487"/>
      <c r="B78" s="491"/>
      <c r="C78" s="46">
        <v>880.5</v>
      </c>
      <c r="D78" s="206">
        <v>880.5</v>
      </c>
      <c r="E78" s="206">
        <f t="shared" si="22"/>
        <v>0</v>
      </c>
      <c r="F78" s="206">
        <v>880.5</v>
      </c>
      <c r="G78" s="219">
        <v>902</v>
      </c>
      <c r="H78" s="206">
        <f t="shared" si="24"/>
        <v>21.5</v>
      </c>
      <c r="I78" s="206">
        <v>880.5</v>
      </c>
      <c r="J78" s="219">
        <v>828.48</v>
      </c>
      <c r="K78" s="219">
        <f t="shared" si="20"/>
        <v>-52.019999999999982</v>
      </c>
      <c r="L78" s="219">
        <v>828.48</v>
      </c>
      <c r="M78" s="219">
        <v>828.48</v>
      </c>
      <c r="N78" s="219">
        <f t="shared" si="21"/>
        <v>4267.9400000000005</v>
      </c>
      <c r="O78" s="31" t="s">
        <v>8</v>
      </c>
      <c r="P78" s="31"/>
      <c r="Q78" s="31"/>
      <c r="R78" s="494"/>
    </row>
    <row r="79" spans="1:18" ht="47.25" customHeight="1">
      <c r="A79" s="486" t="s">
        <v>154</v>
      </c>
      <c r="B79" s="490" t="s">
        <v>173</v>
      </c>
      <c r="C79" s="46">
        <v>234.8</v>
      </c>
      <c r="D79" s="206">
        <v>234.8</v>
      </c>
      <c r="E79" s="206">
        <f t="shared" si="22"/>
        <v>0</v>
      </c>
      <c r="F79" s="206">
        <v>234.8</v>
      </c>
      <c r="G79" s="219">
        <v>234.8</v>
      </c>
      <c r="H79" s="206">
        <f t="shared" si="24"/>
        <v>0</v>
      </c>
      <c r="I79" s="206">
        <v>234.8</v>
      </c>
      <c r="J79" s="219">
        <v>414.55</v>
      </c>
      <c r="K79" s="219">
        <f t="shared" si="20"/>
        <v>179.75</v>
      </c>
      <c r="L79" s="219">
        <v>414.55</v>
      </c>
      <c r="M79" s="219">
        <v>414.55</v>
      </c>
      <c r="N79" s="219">
        <f t="shared" si="21"/>
        <v>1713.25</v>
      </c>
      <c r="O79" s="31" t="s">
        <v>12</v>
      </c>
      <c r="P79" s="31"/>
      <c r="Q79" s="31"/>
      <c r="R79" s="494"/>
    </row>
    <row r="80" spans="1:18" ht="86.25" customHeight="1">
      <c r="A80" s="487"/>
      <c r="B80" s="490"/>
      <c r="C80" s="46">
        <v>1584.9</v>
      </c>
      <c r="D80" s="206">
        <v>1584.9</v>
      </c>
      <c r="E80" s="206">
        <f t="shared" si="22"/>
        <v>0</v>
      </c>
      <c r="F80" s="206">
        <v>1584.9</v>
      </c>
      <c r="G80" s="219">
        <v>721.6</v>
      </c>
      <c r="H80" s="206">
        <f t="shared" si="24"/>
        <v>-863.30000000000007</v>
      </c>
      <c r="I80" s="206">
        <v>1584.9</v>
      </c>
      <c r="J80" s="219">
        <v>1242.73</v>
      </c>
      <c r="K80" s="219">
        <f t="shared" si="20"/>
        <v>-342.17000000000007</v>
      </c>
      <c r="L80" s="219">
        <v>1242.73</v>
      </c>
      <c r="M80" s="219">
        <v>1242.73</v>
      </c>
      <c r="N80" s="219">
        <f t="shared" si="21"/>
        <v>6034.6900000000005</v>
      </c>
      <c r="O80" s="31" t="s">
        <v>8</v>
      </c>
      <c r="P80" s="31"/>
      <c r="Q80" s="31"/>
      <c r="R80" s="494"/>
    </row>
    <row r="81" spans="1:18" ht="36" customHeight="1">
      <c r="A81" s="486" t="s">
        <v>155</v>
      </c>
      <c r="B81" s="490" t="s">
        <v>174</v>
      </c>
      <c r="C81" s="46">
        <v>10</v>
      </c>
      <c r="D81" s="206">
        <v>10</v>
      </c>
      <c r="E81" s="206">
        <f t="shared" si="22"/>
        <v>0</v>
      </c>
      <c r="F81" s="206">
        <v>10</v>
      </c>
      <c r="G81" s="219">
        <v>16.5</v>
      </c>
      <c r="H81" s="206">
        <f t="shared" si="24"/>
        <v>6.5</v>
      </c>
      <c r="I81" s="206">
        <v>10</v>
      </c>
      <c r="J81" s="219">
        <v>154.30000000000001</v>
      </c>
      <c r="K81" s="219">
        <f t="shared" si="20"/>
        <v>144.30000000000001</v>
      </c>
      <c r="L81" s="219">
        <v>304.3</v>
      </c>
      <c r="M81" s="219">
        <v>304.3</v>
      </c>
      <c r="N81" s="219">
        <f t="shared" si="21"/>
        <v>789.40000000000009</v>
      </c>
      <c r="O81" s="31" t="s">
        <v>12</v>
      </c>
      <c r="P81" s="31"/>
      <c r="Q81" s="31"/>
      <c r="R81" s="494"/>
    </row>
    <row r="82" spans="1:18" ht="43.5" customHeight="1">
      <c r="A82" s="487"/>
      <c r="B82" s="492"/>
      <c r="C82" s="46">
        <v>322.60000000000002</v>
      </c>
      <c r="D82" s="206">
        <v>322.60000000000002</v>
      </c>
      <c r="E82" s="206">
        <f t="shared" si="22"/>
        <v>0</v>
      </c>
      <c r="F82" s="206">
        <v>322.60000000000002</v>
      </c>
      <c r="G82" s="219">
        <v>912.8</v>
      </c>
      <c r="H82" s="206">
        <f t="shared" si="24"/>
        <v>590.19999999999993</v>
      </c>
      <c r="I82" s="206">
        <v>322.60000000000002</v>
      </c>
      <c r="J82" s="219">
        <v>455.04</v>
      </c>
      <c r="K82" s="219">
        <f t="shared" si="20"/>
        <v>132.44</v>
      </c>
      <c r="L82" s="219">
        <v>912.8</v>
      </c>
      <c r="M82" s="219">
        <v>912.8</v>
      </c>
      <c r="N82" s="219">
        <f t="shared" si="21"/>
        <v>3516.04</v>
      </c>
      <c r="O82" s="31" t="s">
        <v>62</v>
      </c>
      <c r="P82" s="31"/>
      <c r="Q82" s="31"/>
      <c r="R82" s="494"/>
    </row>
    <row r="83" spans="1:18" ht="47.25" customHeight="1">
      <c r="A83" s="486" t="s">
        <v>156</v>
      </c>
      <c r="B83" s="490" t="s">
        <v>175</v>
      </c>
      <c r="C83" s="46">
        <v>23</v>
      </c>
      <c r="D83" s="206">
        <v>23</v>
      </c>
      <c r="E83" s="206">
        <f t="shared" si="22"/>
        <v>0</v>
      </c>
      <c r="F83" s="206"/>
      <c r="G83" s="219">
        <v>4</v>
      </c>
      <c r="H83" s="206">
        <f t="shared" si="24"/>
        <v>4</v>
      </c>
      <c r="I83" s="206"/>
      <c r="J83" s="219">
        <v>0.1</v>
      </c>
      <c r="K83" s="219">
        <f>J83-I83</f>
        <v>0.1</v>
      </c>
      <c r="L83" s="219">
        <v>0.1</v>
      </c>
      <c r="M83" s="219">
        <v>0.1</v>
      </c>
      <c r="N83" s="219">
        <f t="shared" si="21"/>
        <v>27.300000000000004</v>
      </c>
      <c r="O83" s="31" t="s">
        <v>117</v>
      </c>
      <c r="P83" s="31"/>
      <c r="Q83" s="31"/>
      <c r="R83" s="494"/>
    </row>
    <row r="84" spans="1:18" ht="93.75" customHeight="1">
      <c r="A84" s="487"/>
      <c r="B84" s="492"/>
      <c r="C84" s="46">
        <v>70</v>
      </c>
      <c r="D84" s="206">
        <v>70</v>
      </c>
      <c r="E84" s="206">
        <f t="shared" si="22"/>
        <v>0</v>
      </c>
      <c r="F84" s="206">
        <v>70</v>
      </c>
      <c r="G84" s="219">
        <v>60</v>
      </c>
      <c r="H84" s="206">
        <f t="shared" si="24"/>
        <v>-10</v>
      </c>
      <c r="I84" s="206">
        <v>70</v>
      </c>
      <c r="J84" s="219">
        <v>70</v>
      </c>
      <c r="K84" s="219">
        <f t="shared" ref="K84:K86" si="25">J84-I84</f>
        <v>0</v>
      </c>
      <c r="L84" s="219">
        <v>70</v>
      </c>
      <c r="M84" s="219">
        <v>70</v>
      </c>
      <c r="N84" s="219">
        <f t="shared" si="21"/>
        <v>340</v>
      </c>
      <c r="O84" s="31" t="s">
        <v>62</v>
      </c>
      <c r="P84" s="31"/>
      <c r="Q84" s="31"/>
      <c r="R84" s="494"/>
    </row>
    <row r="85" spans="1:18" ht="48.75" customHeight="1">
      <c r="A85" s="486" t="s">
        <v>157</v>
      </c>
      <c r="B85" s="490" t="s">
        <v>176</v>
      </c>
      <c r="C85" s="46"/>
      <c r="D85" s="206">
        <v>0</v>
      </c>
      <c r="E85" s="206"/>
      <c r="F85" s="206"/>
      <c r="G85" s="219">
        <v>2.4</v>
      </c>
      <c r="H85" s="206">
        <f>G85-F85</f>
        <v>2.4</v>
      </c>
      <c r="I85" s="206"/>
      <c r="J85" s="219">
        <v>0</v>
      </c>
      <c r="K85" s="219">
        <f t="shared" si="25"/>
        <v>0</v>
      </c>
      <c r="L85" s="219">
        <f>J85</f>
        <v>0</v>
      </c>
      <c r="M85" s="219">
        <v>0</v>
      </c>
      <c r="N85" s="219">
        <f>D85+G85+J85+L85+M85</f>
        <v>2.4</v>
      </c>
      <c r="O85" s="31" t="s">
        <v>117</v>
      </c>
      <c r="P85" s="31"/>
      <c r="Q85" s="31"/>
      <c r="R85" s="494"/>
    </row>
    <row r="86" spans="1:18" ht="82.5" customHeight="1">
      <c r="A86" s="487"/>
      <c r="B86" s="492"/>
      <c r="C86" s="46"/>
      <c r="D86" s="206">
        <v>0</v>
      </c>
      <c r="E86" s="206"/>
      <c r="F86" s="206"/>
      <c r="G86" s="219">
        <v>240.6</v>
      </c>
      <c r="H86" s="206">
        <f t="shared" si="24"/>
        <v>240.6</v>
      </c>
      <c r="I86" s="206"/>
      <c r="J86" s="219">
        <v>0</v>
      </c>
      <c r="K86" s="219">
        <f t="shared" si="25"/>
        <v>0</v>
      </c>
      <c r="L86" s="219">
        <f>J86</f>
        <v>0</v>
      </c>
      <c r="M86" s="219">
        <v>0</v>
      </c>
      <c r="N86" s="219">
        <f t="shared" si="21"/>
        <v>240.6</v>
      </c>
      <c r="O86" s="31" t="s">
        <v>62</v>
      </c>
      <c r="P86" s="31"/>
      <c r="Q86" s="31"/>
      <c r="R86" s="494"/>
    </row>
    <row r="87" spans="1:18" ht="93" customHeight="1">
      <c r="A87" s="486" t="s">
        <v>194</v>
      </c>
      <c r="B87" s="488" t="s">
        <v>191</v>
      </c>
      <c r="C87" s="46"/>
      <c r="D87" s="206">
        <v>0</v>
      </c>
      <c r="E87" s="206"/>
      <c r="F87" s="206"/>
      <c r="G87" s="219">
        <v>0.159</v>
      </c>
      <c r="H87" s="206">
        <f t="shared" si="24"/>
        <v>0.159</v>
      </c>
      <c r="I87" s="206"/>
      <c r="J87" s="219">
        <v>245</v>
      </c>
      <c r="K87" s="219"/>
      <c r="L87" s="219">
        <v>245</v>
      </c>
      <c r="M87" s="219">
        <v>245</v>
      </c>
      <c r="N87" s="219">
        <f t="shared" si="21"/>
        <v>735.15899999999999</v>
      </c>
      <c r="O87" s="31" t="s">
        <v>117</v>
      </c>
      <c r="P87" s="31"/>
      <c r="Q87" s="31"/>
      <c r="R87" s="261"/>
    </row>
    <row r="88" spans="1:18" ht="121.5" customHeight="1">
      <c r="A88" s="487"/>
      <c r="B88" s="489"/>
      <c r="C88" s="46"/>
      <c r="D88" s="206">
        <v>0</v>
      </c>
      <c r="E88" s="206"/>
      <c r="F88" s="206"/>
      <c r="G88" s="219">
        <v>159</v>
      </c>
      <c r="H88" s="206">
        <f t="shared" si="24"/>
        <v>159</v>
      </c>
      <c r="I88" s="206"/>
      <c r="J88" s="219">
        <v>714.62</v>
      </c>
      <c r="K88" s="219"/>
      <c r="L88" s="219">
        <v>714.62</v>
      </c>
      <c r="M88" s="219">
        <f>L88</f>
        <v>714.62</v>
      </c>
      <c r="N88" s="219">
        <f t="shared" si="21"/>
        <v>2302.86</v>
      </c>
      <c r="O88" s="31" t="s">
        <v>62</v>
      </c>
      <c r="P88" s="31"/>
      <c r="Q88" s="31"/>
      <c r="R88" s="261"/>
    </row>
    <row r="89" spans="1:18" s="277" customFormat="1" ht="32.25" customHeight="1">
      <c r="A89" s="241"/>
      <c r="B89" s="10" t="s">
        <v>20</v>
      </c>
      <c r="C89" s="46">
        <f>C66+C67+C68+C69+C70+C71+C73+C75+C77+C79+C81+C83</f>
        <v>385434.51</v>
      </c>
      <c r="D89" s="206">
        <f>D66+D67+D68+D69+D70+D71+D73+D75+D77+D79+D81+D83</f>
        <v>423752.01</v>
      </c>
      <c r="E89" s="206">
        <f>D89-C89</f>
        <v>38317.5</v>
      </c>
      <c r="F89" s="206">
        <f>F66+F67+F68+F69+F70+F71+F73+F75+F77+F79+F81+F83</f>
        <v>217655.1</v>
      </c>
      <c r="G89" s="219">
        <f>G66+G67+G68+G69+G70+G71+G73+G75+G77+G79+G81+G83+G85+G87</f>
        <v>587131.30576000002</v>
      </c>
      <c r="H89" s="219">
        <f t="shared" ref="H89:I89" si="26">H66+H67+H68+H69+H70+H71+H73+H75+H77+H79+H81+H83+H85+H87</f>
        <v>474840.15575999999</v>
      </c>
      <c r="I89" s="219">
        <f t="shared" si="26"/>
        <v>217655.1</v>
      </c>
      <c r="J89" s="219">
        <f>J66+J67+J68+J69+J70+J71+J73+J75+J77+J79+J81+J83+J85+J87</f>
        <v>344732.32821000007</v>
      </c>
      <c r="K89" s="219">
        <f t="shared" ref="K89:M89" si="27">K66+K67+K68+K69+K70+K71+K73+K75+K77+K79+K81+K83+K85+K87</f>
        <v>126832.22821000006</v>
      </c>
      <c r="L89" s="219">
        <f t="shared" si="27"/>
        <v>290258.05</v>
      </c>
      <c r="M89" s="219">
        <f t="shared" si="27"/>
        <v>290258.05</v>
      </c>
      <c r="N89" s="219">
        <f t="shared" si="21"/>
        <v>1936131.7439700002</v>
      </c>
      <c r="O89" s="241"/>
      <c r="P89" s="271"/>
      <c r="Q89" s="271"/>
      <c r="R89" s="271"/>
    </row>
    <row r="90" spans="1:18" s="277" customFormat="1" ht="35.25" customHeight="1">
      <c r="A90" s="241"/>
      <c r="B90" s="31" t="s">
        <v>21</v>
      </c>
      <c r="C90" s="46">
        <f>C72+C74+C76+C78+C80+C82+C84</f>
        <v>7502.3000000000011</v>
      </c>
      <c r="D90" s="206">
        <f>D72+D74+D76+D78+D80+D82+D84</f>
        <v>7892.3000000000011</v>
      </c>
      <c r="E90" s="206">
        <f t="shared" si="22"/>
        <v>390</v>
      </c>
      <c r="F90" s="206">
        <f>F72+F74+F76+F78+F80+F82+F84</f>
        <v>7502.3000000000011</v>
      </c>
      <c r="G90" s="219">
        <f t="shared" ref="G90:I90" si="28">G72+G74+G76+G78+G80+G82+G84+G86+G88</f>
        <v>10121.299999999999</v>
      </c>
      <c r="H90" s="219">
        <f t="shared" si="28"/>
        <v>2618.9999999999991</v>
      </c>
      <c r="I90" s="219">
        <f t="shared" si="28"/>
        <v>7502.3000000000011</v>
      </c>
      <c r="J90" s="219">
        <f>J72+J74+J76+J78+J80+J82+J84+J86+J88</f>
        <v>10646.69</v>
      </c>
      <c r="K90" s="219">
        <f t="shared" ref="K90" si="29">K72+K74+K76+K78+K80+K82+K84+K86+K88</f>
        <v>2429.77</v>
      </c>
      <c r="L90" s="219">
        <f>L72+L74+L76+L78+L80+L82+L84+L86+L88</f>
        <v>11104.449999999999</v>
      </c>
      <c r="M90" s="219">
        <f>M72+M74+M76+M78+M80+M82+M84+M86+M88</f>
        <v>11104.449999999999</v>
      </c>
      <c r="N90" s="219">
        <f t="shared" si="21"/>
        <v>50869.189999999995</v>
      </c>
      <c r="O90" s="241"/>
      <c r="P90" s="271"/>
      <c r="Q90" s="274"/>
      <c r="R90" s="271"/>
    </row>
    <row r="91" spans="1:18" s="277" customFormat="1" ht="37.5" customHeight="1">
      <c r="A91" s="241"/>
      <c r="B91" s="10" t="s">
        <v>22</v>
      </c>
      <c r="C91" s="46">
        <f>C89+C90</f>
        <v>392936.81</v>
      </c>
      <c r="D91" s="206">
        <f>D89+D90</f>
        <v>431644.31</v>
      </c>
      <c r="E91" s="206">
        <f t="shared" si="22"/>
        <v>38707.5</v>
      </c>
      <c r="F91" s="206">
        <f>F89+F90</f>
        <v>225157.4</v>
      </c>
      <c r="G91" s="219">
        <f>G89+G90</f>
        <v>597252.60576000006</v>
      </c>
      <c r="H91" s="219">
        <f t="shared" ref="H91:I91" si="30">H89+H90</f>
        <v>477459.15575999999</v>
      </c>
      <c r="I91" s="219">
        <f t="shared" si="30"/>
        <v>225157.4</v>
      </c>
      <c r="J91" s="219">
        <f>J89+J90</f>
        <v>355379.01821000007</v>
      </c>
      <c r="K91" s="219"/>
      <c r="L91" s="219">
        <f>L89+L90</f>
        <v>301362.5</v>
      </c>
      <c r="M91" s="219">
        <f>M89+M90</f>
        <v>301362.5</v>
      </c>
      <c r="N91" s="219">
        <f t="shared" si="21"/>
        <v>1987000.9339700001</v>
      </c>
      <c r="O91" s="241"/>
      <c r="P91" s="271"/>
      <c r="Q91" s="271"/>
      <c r="R91" s="271"/>
    </row>
    <row r="92" spans="1:18" s="277" customFormat="1" ht="26.25" hidden="1">
      <c r="A92" s="241"/>
      <c r="B92" s="10" t="s">
        <v>132</v>
      </c>
      <c r="C92" s="46"/>
      <c r="D92" s="206">
        <v>431644.31</v>
      </c>
      <c r="E92" s="206"/>
      <c r="F92" s="206"/>
      <c r="G92" s="219"/>
      <c r="H92" s="206"/>
      <c r="I92" s="206"/>
      <c r="J92" s="239">
        <v>355379.01821000001</v>
      </c>
      <c r="K92" s="239"/>
      <c r="L92" s="239">
        <v>301362.5</v>
      </c>
      <c r="M92" s="239">
        <v>301362.5</v>
      </c>
      <c r="N92" s="219"/>
      <c r="O92" s="241"/>
      <c r="P92" s="271"/>
      <c r="Q92" s="271"/>
      <c r="R92" s="271"/>
    </row>
    <row r="93" spans="1:18" s="277" customFormat="1" ht="26.25" hidden="1">
      <c r="A93" s="241"/>
      <c r="B93" s="10" t="s">
        <v>132</v>
      </c>
      <c r="C93" s="46"/>
      <c r="D93" s="240">
        <f>D92-D91</f>
        <v>0</v>
      </c>
      <c r="E93" s="240"/>
      <c r="F93" s="240"/>
      <c r="G93" s="219"/>
      <c r="H93" s="240">
        <f t="shared" ref="H93:K93" si="31">H92-H91</f>
        <v>-477459.15575999999</v>
      </c>
      <c r="I93" s="240">
        <f t="shared" si="31"/>
        <v>-225157.4</v>
      </c>
      <c r="J93" s="239">
        <f>J92-J91</f>
        <v>0</v>
      </c>
      <c r="K93" s="239">
        <f t="shared" si="31"/>
        <v>0</v>
      </c>
      <c r="L93" s="239">
        <f>L92-L91</f>
        <v>0</v>
      </c>
      <c r="M93" s="239">
        <f>M92-M91</f>
        <v>0</v>
      </c>
      <c r="N93" s="219"/>
      <c r="O93" s="241"/>
      <c r="P93" s="271"/>
      <c r="Q93" s="271"/>
      <c r="R93" s="271"/>
    </row>
    <row r="94" spans="1:18" s="277" customFormat="1" ht="222.75" customHeight="1">
      <c r="A94" s="241"/>
      <c r="B94" s="10"/>
      <c r="C94" s="46"/>
      <c r="D94" s="240"/>
      <c r="E94" s="240"/>
      <c r="F94" s="240"/>
      <c r="G94" s="219"/>
      <c r="H94" s="240"/>
      <c r="I94" s="240"/>
      <c r="J94" s="239"/>
      <c r="K94" s="239"/>
      <c r="L94" s="239"/>
      <c r="M94" s="239"/>
      <c r="N94" s="219"/>
      <c r="O94" s="241"/>
      <c r="P94" s="271"/>
      <c r="Q94" s="271"/>
      <c r="R94" s="271"/>
    </row>
    <row r="95" spans="1:18" s="277" customFormat="1" ht="53.25" customHeight="1">
      <c r="A95" s="241"/>
      <c r="B95" s="10" t="s">
        <v>24</v>
      </c>
      <c r="C95" s="37" t="e">
        <f>C96+C97+C98</f>
        <v>#REF!</v>
      </c>
      <c r="D95" s="206">
        <f>D96+D97+D98</f>
        <v>603117.71</v>
      </c>
      <c r="E95" s="206" t="e">
        <f>E96+E97+E98</f>
        <v>#REF!</v>
      </c>
      <c r="F95" s="206" t="e">
        <f>F96+F97+F98</f>
        <v>#REF!</v>
      </c>
      <c r="G95" s="219">
        <f>G96+G97+G98</f>
        <v>665367.74676000001</v>
      </c>
      <c r="H95" s="219" t="e">
        <f t="shared" ref="H95:I95" si="32">H96+H97+H98</f>
        <v>#REF!</v>
      </c>
      <c r="I95" s="219" t="e">
        <f t="shared" si="32"/>
        <v>#REF!</v>
      </c>
      <c r="J95" s="219">
        <f>J96+J97+J98</f>
        <v>409883.79927000008</v>
      </c>
      <c r="K95" s="219">
        <f t="shared" ref="K95:L95" si="33">K96+K97+K98</f>
        <v>135587.95149000006</v>
      </c>
      <c r="L95" s="219">
        <f t="shared" si="33"/>
        <v>371143.96949999995</v>
      </c>
      <c r="M95" s="219">
        <f>M96+M97+M98</f>
        <v>444565.20750000002</v>
      </c>
      <c r="N95" s="219">
        <f>D95+G95+J95+L95+M95</f>
        <v>2494078.43303</v>
      </c>
      <c r="O95" s="242"/>
      <c r="P95" s="243"/>
      <c r="Q95" s="243"/>
      <c r="R95" s="271"/>
    </row>
    <row r="96" spans="1:18" s="277" customFormat="1" ht="33.75" customHeight="1">
      <c r="A96" s="241"/>
      <c r="B96" s="31" t="s">
        <v>20</v>
      </c>
      <c r="C96" s="37" t="e">
        <f>C89+C56</f>
        <v>#REF!</v>
      </c>
      <c r="D96" s="206">
        <f>D89+D56</f>
        <v>544722.11</v>
      </c>
      <c r="E96" s="206" t="e">
        <f>E89+E56</f>
        <v>#REF!</v>
      </c>
      <c r="F96" s="206" t="e">
        <f>F89+F56</f>
        <v>#REF!</v>
      </c>
      <c r="G96" s="219">
        <f t="shared" ref="G96:I96" si="34">G89+G56</f>
        <v>649404.54676000006</v>
      </c>
      <c r="H96" s="219" t="e">
        <f t="shared" si="34"/>
        <v>#REF!</v>
      </c>
      <c r="I96" s="219" t="e">
        <f t="shared" si="34"/>
        <v>#REF!</v>
      </c>
      <c r="J96" s="219">
        <f>J89+J56</f>
        <v>393110.87821000005</v>
      </c>
      <c r="K96" s="219">
        <f t="shared" ref="K96:M96" si="35">K89+K56</f>
        <v>132316.22821000006</v>
      </c>
      <c r="L96" s="219">
        <f t="shared" si="35"/>
        <v>333477.14999999997</v>
      </c>
      <c r="M96" s="219">
        <f t="shared" si="35"/>
        <v>333477.25</v>
      </c>
      <c r="N96" s="219">
        <f t="shared" si="21"/>
        <v>2254191.9349699998</v>
      </c>
      <c r="O96" s="241"/>
      <c r="P96" s="271"/>
      <c r="Q96" s="271"/>
      <c r="R96" s="271"/>
    </row>
    <row r="97" spans="1:18" s="277" customFormat="1" ht="34.5" customHeight="1">
      <c r="A97" s="241"/>
      <c r="B97" s="31" t="s">
        <v>21</v>
      </c>
      <c r="C97" s="37" t="e">
        <f>C57+C90</f>
        <v>#REF!</v>
      </c>
      <c r="D97" s="206">
        <f>D57+D90</f>
        <v>51703.200000000004</v>
      </c>
      <c r="E97" s="206" t="e">
        <f>E57+E90</f>
        <v>#REF!</v>
      </c>
      <c r="F97" s="206" t="e">
        <f>F57+F90</f>
        <v>#REF!</v>
      </c>
      <c r="G97" s="219">
        <f t="shared" ref="G97:I97" si="36">G57+G90</f>
        <v>13706</v>
      </c>
      <c r="H97" s="219" t="e">
        <f t="shared" si="36"/>
        <v>#REF!</v>
      </c>
      <c r="I97" s="219" t="e">
        <f t="shared" si="36"/>
        <v>#REF!</v>
      </c>
      <c r="J97" s="219">
        <f>J57+J90</f>
        <v>14073.14328</v>
      </c>
      <c r="K97" s="219">
        <f t="shared" ref="K97" si="37">K57+K90</f>
        <v>3271.7232800000002</v>
      </c>
      <c r="L97" s="219">
        <f>L57+L90</f>
        <v>37666.819499999998</v>
      </c>
      <c r="M97" s="219">
        <f>M57+M90</f>
        <v>111087.95749999999</v>
      </c>
      <c r="N97" s="219">
        <f t="shared" si="21"/>
        <v>228237.12027999997</v>
      </c>
      <c r="O97" s="241"/>
      <c r="P97" s="271"/>
      <c r="Q97" s="271"/>
      <c r="R97" s="278"/>
    </row>
    <row r="98" spans="1:18" s="277" customFormat="1" ht="32.25" customHeight="1">
      <c r="A98" s="241"/>
      <c r="B98" s="31" t="s">
        <v>25</v>
      </c>
      <c r="C98" s="37" t="e">
        <f>C58</f>
        <v>#REF!</v>
      </c>
      <c r="D98" s="206">
        <f>D58</f>
        <v>6692.4</v>
      </c>
      <c r="E98" s="206" t="e">
        <f>E58</f>
        <v>#REF!</v>
      </c>
      <c r="F98" s="206" t="e">
        <f>F58</f>
        <v>#REF!</v>
      </c>
      <c r="G98" s="219">
        <f t="shared" ref="G98:I98" si="38">G58</f>
        <v>2257.1999999999998</v>
      </c>
      <c r="H98" s="219" t="e">
        <f t="shared" si="38"/>
        <v>#REF!</v>
      </c>
      <c r="I98" s="219" t="e">
        <f t="shared" si="38"/>
        <v>#REF!</v>
      </c>
      <c r="J98" s="219">
        <f>J58</f>
        <v>2699.7777799999999</v>
      </c>
      <c r="K98" s="219">
        <f t="shared" ref="K98:M98" si="39">K58</f>
        <v>0</v>
      </c>
      <c r="L98" s="219">
        <f t="shared" si="39"/>
        <v>0</v>
      </c>
      <c r="M98" s="219">
        <f t="shared" si="39"/>
        <v>0</v>
      </c>
      <c r="N98" s="219">
        <f t="shared" si="21"/>
        <v>11649.377779999999</v>
      </c>
      <c r="O98" s="241"/>
      <c r="P98" s="271"/>
      <c r="Q98" s="271"/>
      <c r="R98" s="279"/>
    </row>
    <row r="99" spans="1:18" ht="33.75" hidden="1">
      <c r="C99" s="281"/>
      <c r="G99" s="246"/>
      <c r="J99" s="246">
        <v>409883.79927000002</v>
      </c>
      <c r="L99" s="246">
        <v>371143.96950000001</v>
      </c>
      <c r="M99" s="246">
        <v>444565.20750000002</v>
      </c>
    </row>
    <row r="100" spans="1:18" hidden="1">
      <c r="C100" s="38"/>
      <c r="G100" s="246"/>
      <c r="J100" s="246">
        <f>J99-J95</f>
        <v>0</v>
      </c>
      <c r="L100" s="246">
        <f>L99-L95</f>
        <v>0</v>
      </c>
      <c r="M100" s="246">
        <f>M99-M95</f>
        <v>0</v>
      </c>
    </row>
    <row r="101" spans="1:18" s="272" customFormat="1" ht="28.5">
      <c r="A101" s="283"/>
      <c r="B101" s="284"/>
      <c r="D101" s="285"/>
      <c r="E101" s="285"/>
      <c r="F101" s="285"/>
      <c r="G101" s="285"/>
      <c r="H101" s="285"/>
      <c r="I101" s="285"/>
      <c r="J101" s="285"/>
      <c r="K101" s="285"/>
      <c r="L101" s="285">
        <v>13769.427</v>
      </c>
      <c r="M101" s="285">
        <v>13769.427</v>
      </c>
      <c r="N101" s="285"/>
      <c r="O101" s="286"/>
    </row>
    <row r="102" spans="1:18" s="281" customFormat="1" ht="33.75">
      <c r="A102" s="287"/>
      <c r="B102" s="288"/>
      <c r="D102" s="289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90"/>
    </row>
    <row r="103" spans="1:18" s="281" customFormat="1" ht="33.75">
      <c r="A103" s="287"/>
      <c r="B103" s="288"/>
      <c r="D103" s="289"/>
      <c r="E103" s="289"/>
      <c r="F103" s="289"/>
      <c r="G103" s="289"/>
      <c r="H103" s="289"/>
      <c r="I103" s="289"/>
      <c r="J103" s="289"/>
      <c r="K103" s="289"/>
      <c r="L103" s="289">
        <f>L97-L101</f>
        <v>23897.392499999998</v>
      </c>
      <c r="M103" s="289">
        <f>M97-M101</f>
        <v>97318.530499999993</v>
      </c>
      <c r="N103" s="289"/>
      <c r="O103" s="290"/>
    </row>
  </sheetData>
  <mergeCells count="62">
    <mergeCell ref="A71:A72"/>
    <mergeCell ref="B71:B72"/>
    <mergeCell ref="B87:B88"/>
    <mergeCell ref="A79:A80"/>
    <mergeCell ref="A85:A86"/>
    <mergeCell ref="B85:B86"/>
    <mergeCell ref="B79:B80"/>
    <mergeCell ref="A81:A82"/>
    <mergeCell ref="B81:B82"/>
    <mergeCell ref="A83:A84"/>
    <mergeCell ref="B83:B84"/>
    <mergeCell ref="A77:A78"/>
    <mergeCell ref="B77:B78"/>
    <mergeCell ref="A75:A76"/>
    <mergeCell ref="B75:B76"/>
    <mergeCell ref="A87:A88"/>
    <mergeCell ref="D12:D13"/>
    <mergeCell ref="A39:A41"/>
    <mergeCell ref="A50:A51"/>
    <mergeCell ref="A54:A55"/>
    <mergeCell ref="B54:B55"/>
    <mergeCell ref="B32:B34"/>
    <mergeCell ref="A32:A34"/>
    <mergeCell ref="B39:B41"/>
    <mergeCell ref="A43:A45"/>
    <mergeCell ref="A14:R14"/>
    <mergeCell ref="A24:A25"/>
    <mergeCell ref="B24:B25"/>
    <mergeCell ref="P24:P25"/>
    <mergeCell ref="B35:B37"/>
    <mergeCell ref="A63:Q63"/>
    <mergeCell ref="A62:R62"/>
    <mergeCell ref="A64:Q64"/>
    <mergeCell ref="B50:B51"/>
    <mergeCell ref="M12:M13"/>
    <mergeCell ref="A35:A38"/>
    <mergeCell ref="B17:B19"/>
    <mergeCell ref="A17:A19"/>
    <mergeCell ref="L12:L13"/>
    <mergeCell ref="G12:G13"/>
    <mergeCell ref="J12:J13"/>
    <mergeCell ref="B43:B45"/>
    <mergeCell ref="A47:A48"/>
    <mergeCell ref="B47:B48"/>
    <mergeCell ref="A15:Q15"/>
    <mergeCell ref="A16:Q16"/>
    <mergeCell ref="O1:R5"/>
    <mergeCell ref="O7:R7"/>
    <mergeCell ref="O8:R8"/>
    <mergeCell ref="R63:R86"/>
    <mergeCell ref="R15:R55"/>
    <mergeCell ref="Q54:Q55"/>
    <mergeCell ref="A10:R10"/>
    <mergeCell ref="A12:A13"/>
    <mergeCell ref="B12:B13"/>
    <mergeCell ref="N12:N13"/>
    <mergeCell ref="O12:O13"/>
    <mergeCell ref="R12:R13"/>
    <mergeCell ref="P12:P13"/>
    <mergeCell ref="Q12:Q13"/>
    <mergeCell ref="A73:A74"/>
    <mergeCell ref="B73:B74"/>
  </mergeCells>
  <phoneticPr fontId="19" type="noConversion"/>
  <pageMargins left="0.31496062992125984" right="0.31496062992125984" top="0.19685039370078741" bottom="0.19685039370078741" header="0.11811023622047245" footer="0.15748031496062992"/>
  <pageSetup paperSize="9" scale="3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5"/>
  <sheetViews>
    <sheetView view="pageBreakPreview" topLeftCell="A79" zoomScale="60" zoomScaleNormal="60" workbookViewId="0">
      <selection activeCell="L90" sqref="L90"/>
    </sheetView>
  </sheetViews>
  <sheetFormatPr defaultColWidth="9.140625" defaultRowHeight="23.25"/>
  <cols>
    <col min="1" max="1" width="11.28515625" style="181" bestFit="1" customWidth="1"/>
    <col min="2" max="2" width="67.5703125" style="9" customWidth="1"/>
    <col min="3" max="3" width="27.28515625" style="32" customWidth="1"/>
    <col min="4" max="4" width="26.28515625" style="32" customWidth="1"/>
    <col min="5" max="5" width="25.140625" style="8" hidden="1" customWidth="1"/>
    <col min="6" max="6" width="21.5703125" style="8" hidden="1" customWidth="1"/>
    <col min="7" max="7" width="17.85546875" style="8" hidden="1" customWidth="1"/>
    <col min="8" max="8" width="21.85546875" style="8" hidden="1" customWidth="1"/>
    <col min="9" max="9" width="19.85546875" style="8" hidden="1" customWidth="1"/>
    <col min="10" max="10" width="18.28515625" style="8" hidden="1" customWidth="1"/>
    <col min="11" max="11" width="21.85546875" style="86" hidden="1" customWidth="1"/>
    <col min="12" max="12" width="35.140625" style="9" bestFit="1" customWidth="1"/>
    <col min="13" max="13" width="35.140625" style="9" customWidth="1"/>
    <col min="14" max="14" width="17.5703125" style="9" bestFit="1" customWidth="1"/>
    <col min="15" max="15" width="15.5703125" style="9" bestFit="1" customWidth="1"/>
    <col min="16" max="16" width="10.7109375" style="9" customWidth="1"/>
    <col min="17" max="17" width="12.42578125" style="9" customWidth="1"/>
    <col min="18" max="18" width="13.5703125" style="9" customWidth="1"/>
    <col min="19" max="19" width="9.140625" style="9" customWidth="1"/>
    <col min="20" max="16384" width="9.140625" style="9"/>
  </cols>
  <sheetData>
    <row r="1" spans="1:18" ht="51.75" hidden="1" customHeight="1">
      <c r="K1" s="607" t="s">
        <v>26</v>
      </c>
      <c r="L1" s="607"/>
      <c r="M1" s="99"/>
    </row>
    <row r="2" spans="1:18" ht="33.75" customHeight="1">
      <c r="C2" s="33"/>
      <c r="D2" s="33"/>
      <c r="E2" s="9"/>
      <c r="F2" s="9"/>
      <c r="G2" s="9"/>
      <c r="H2" s="9"/>
      <c r="I2" s="9"/>
      <c r="J2" s="9"/>
      <c r="K2" s="609" t="s">
        <v>46</v>
      </c>
      <c r="L2" s="610"/>
      <c r="M2" s="611"/>
    </row>
    <row r="3" spans="1:18" ht="40.5" customHeight="1">
      <c r="A3" s="182"/>
      <c r="B3" s="147"/>
      <c r="C3" s="34"/>
      <c r="D3" s="34"/>
      <c r="E3" s="15"/>
      <c r="F3" s="15"/>
      <c r="G3" s="15"/>
      <c r="H3" s="609" t="s">
        <v>77</v>
      </c>
      <c r="I3" s="609"/>
      <c r="J3" s="609"/>
      <c r="K3" s="612"/>
      <c r="L3" s="612"/>
      <c r="M3" s="611"/>
    </row>
    <row r="4" spans="1:18" ht="69" customHeight="1">
      <c r="A4" s="568" t="s">
        <v>0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100"/>
    </row>
    <row r="5" spans="1:18" ht="30.75" customHeight="1">
      <c r="A5" s="608" t="s">
        <v>49</v>
      </c>
      <c r="B5" s="608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101"/>
    </row>
    <row r="6" spans="1:18" ht="24.75">
      <c r="A6" s="542" t="s">
        <v>1</v>
      </c>
      <c r="B6" s="542" t="s">
        <v>2</v>
      </c>
      <c r="C6" s="621"/>
      <c r="D6" s="621"/>
      <c r="E6" s="621"/>
      <c r="F6" s="621"/>
      <c r="G6" s="621"/>
      <c r="H6" s="536"/>
      <c r="I6" s="30"/>
      <c r="J6" s="30"/>
      <c r="K6" s="542" t="s">
        <v>3</v>
      </c>
      <c r="L6" s="542" t="s">
        <v>4</v>
      </c>
      <c r="M6" s="542" t="s">
        <v>96</v>
      </c>
    </row>
    <row r="7" spans="1:18" ht="99" customHeight="1">
      <c r="A7" s="542"/>
      <c r="B7" s="542"/>
      <c r="C7" s="35" t="s">
        <v>126</v>
      </c>
      <c r="D7" s="35" t="s">
        <v>127</v>
      </c>
      <c r="E7" s="31" t="s">
        <v>74</v>
      </c>
      <c r="F7" s="31" t="s">
        <v>71</v>
      </c>
      <c r="G7" s="31" t="s">
        <v>72</v>
      </c>
      <c r="H7" s="31" t="s">
        <v>73</v>
      </c>
      <c r="I7" s="31" t="s">
        <v>71</v>
      </c>
      <c r="J7" s="10" t="s">
        <v>72</v>
      </c>
      <c r="K7" s="542"/>
      <c r="L7" s="542"/>
      <c r="M7" s="537"/>
    </row>
    <row r="8" spans="1:18" s="183" customFormat="1" ht="24.75" customHeight="1">
      <c r="A8" s="622" t="s">
        <v>6</v>
      </c>
      <c r="B8" s="623"/>
      <c r="C8" s="623"/>
      <c r="D8" s="623"/>
      <c r="E8" s="623"/>
      <c r="F8" s="623"/>
      <c r="G8" s="623"/>
      <c r="H8" s="623"/>
      <c r="I8" s="623"/>
      <c r="J8" s="623"/>
      <c r="K8" s="623"/>
      <c r="L8" s="623"/>
      <c r="M8" s="103"/>
    </row>
    <row r="9" spans="1:18" s="86" customFormat="1" ht="64.5" customHeight="1">
      <c r="A9" s="600" t="s">
        <v>52</v>
      </c>
      <c r="B9" s="601"/>
      <c r="C9" s="601"/>
      <c r="D9" s="601"/>
      <c r="E9" s="601"/>
      <c r="F9" s="601"/>
      <c r="G9" s="601"/>
      <c r="H9" s="601"/>
      <c r="I9" s="601"/>
      <c r="J9" s="601"/>
      <c r="K9" s="601"/>
      <c r="L9" s="602"/>
      <c r="M9" s="104"/>
    </row>
    <row r="10" spans="1:18" s="86" customFormat="1" ht="101.25" customHeight="1">
      <c r="A10" s="624" t="s">
        <v>53</v>
      </c>
      <c r="B10" s="625"/>
      <c r="C10" s="625"/>
      <c r="D10" s="625"/>
      <c r="E10" s="625"/>
      <c r="F10" s="625"/>
      <c r="G10" s="625"/>
      <c r="H10" s="625"/>
      <c r="I10" s="625"/>
      <c r="J10" s="625"/>
      <c r="K10" s="625"/>
      <c r="L10" s="626"/>
      <c r="M10" s="105"/>
    </row>
    <row r="11" spans="1:18" ht="126.75" customHeight="1">
      <c r="A11" s="613">
        <v>1</v>
      </c>
      <c r="B11" s="585" t="s">
        <v>31</v>
      </c>
      <c r="C11" s="25">
        <f>C28+C34+C35+C36+C41+C42+C26</f>
        <v>23003.7</v>
      </c>
      <c r="D11" s="25">
        <f>D26+D34+D35+D36+D41+D42</f>
        <v>29530.3</v>
      </c>
      <c r="E11" s="25">
        <f>E78+E80+E76+E26+E28+E84+E82+E34+E35+E36+E41+E86</f>
        <v>21088.1</v>
      </c>
      <c r="F11" s="25">
        <v>19751.2</v>
      </c>
      <c r="G11" s="25">
        <f>E11-F11</f>
        <v>1336.8999999999978</v>
      </c>
      <c r="H11" s="25">
        <f>H78+H80+H76+H26+H28+H84+H82+H34+H35+H36+H41+H86</f>
        <v>21088.1</v>
      </c>
      <c r="I11" s="25">
        <v>19751.2</v>
      </c>
      <c r="J11" s="25">
        <f>H11-I11</f>
        <v>1336.8999999999978</v>
      </c>
      <c r="K11" s="106" t="e">
        <f>#REF!+E11+H11</f>
        <v>#REF!</v>
      </c>
      <c r="L11" s="102" t="s">
        <v>7</v>
      </c>
      <c r="M11" s="102"/>
      <c r="O11" s="184"/>
      <c r="P11" s="184"/>
      <c r="Q11" s="184"/>
    </row>
    <row r="12" spans="1:18" ht="32.25" customHeight="1">
      <c r="A12" s="620"/>
      <c r="B12" s="588"/>
      <c r="C12" s="26">
        <f>C27+C29</f>
        <v>2584.5</v>
      </c>
      <c r="D12" s="26">
        <f>D27</f>
        <v>2834.5</v>
      </c>
      <c r="E12" s="26" t="e">
        <f>E79+E77+E27+E29+E85+E83+E87+E81+#REF!</f>
        <v>#REF!</v>
      </c>
      <c r="F12" s="26">
        <v>7498.6</v>
      </c>
      <c r="G12" s="25" t="e">
        <f t="shared" ref="G12:G14" si="0">E12-F12</f>
        <v>#REF!</v>
      </c>
      <c r="H12" s="26" t="e">
        <f>H79+H77+H27+H29+H85+H83+H87+H81+#REF!</f>
        <v>#REF!</v>
      </c>
      <c r="I12" s="26">
        <v>7498.6</v>
      </c>
      <c r="J12" s="25" t="e">
        <f t="shared" ref="J12:J14" si="1">H12-I12</f>
        <v>#REF!</v>
      </c>
      <c r="K12" s="107" t="e">
        <f>#REF!+E12+H12</f>
        <v>#REF!</v>
      </c>
      <c r="L12" s="108" t="s">
        <v>8</v>
      </c>
      <c r="M12" s="102"/>
      <c r="O12" s="185"/>
      <c r="P12" s="185"/>
      <c r="Q12" s="186"/>
      <c r="R12" s="185"/>
    </row>
    <row r="13" spans="1:18" ht="32.25" customHeight="1">
      <c r="A13" s="620"/>
      <c r="B13" s="603"/>
      <c r="C13" s="26"/>
      <c r="D13" s="26"/>
      <c r="E13" s="26">
        <v>0</v>
      </c>
      <c r="F13" s="26">
        <v>0</v>
      </c>
      <c r="G13" s="25">
        <f t="shared" si="0"/>
        <v>0</v>
      </c>
      <c r="H13" s="26">
        <v>0</v>
      </c>
      <c r="I13" s="26">
        <v>0</v>
      </c>
      <c r="J13" s="25">
        <f t="shared" si="1"/>
        <v>0</v>
      </c>
      <c r="K13" s="106" t="e">
        <f>#REF!+E13+H13</f>
        <v>#REF!</v>
      </c>
      <c r="L13" s="108" t="s">
        <v>9</v>
      </c>
      <c r="M13" s="102"/>
    </row>
    <row r="14" spans="1:18" ht="105.75" customHeight="1">
      <c r="A14" s="615"/>
      <c r="B14" s="104" t="s">
        <v>37</v>
      </c>
      <c r="C14" s="25">
        <f>C11+C12</f>
        <v>25588.2</v>
      </c>
      <c r="D14" s="25">
        <f>D11+D12</f>
        <v>32364.799999999999</v>
      </c>
      <c r="E14" s="25" t="e">
        <f>E11+E12+E13</f>
        <v>#REF!</v>
      </c>
      <c r="F14" s="25">
        <f>F11+F12+F13</f>
        <v>27249.800000000003</v>
      </c>
      <c r="G14" s="25" t="e">
        <f t="shared" si="0"/>
        <v>#REF!</v>
      </c>
      <c r="H14" s="25" t="e">
        <f>H11+H12+H13</f>
        <v>#REF!</v>
      </c>
      <c r="I14" s="25">
        <f>I11+I12+I13</f>
        <v>27249.800000000003</v>
      </c>
      <c r="J14" s="25" t="e">
        <f t="shared" si="1"/>
        <v>#REF!</v>
      </c>
      <c r="K14" s="106" t="e">
        <f>H14+E14+#REF!</f>
        <v>#REF!</v>
      </c>
      <c r="L14" s="102"/>
      <c r="M14" s="109"/>
      <c r="N14" s="184">
        <v>25588.2</v>
      </c>
      <c r="O14" s="184" t="e">
        <f>N14-#REF!</f>
        <v>#REF!</v>
      </c>
    </row>
    <row r="15" spans="1:18" ht="24" customHeight="1">
      <c r="A15" s="187"/>
      <c r="B15" s="150" t="s">
        <v>10</v>
      </c>
      <c r="C15" s="27"/>
      <c r="D15" s="27"/>
      <c r="E15" s="27"/>
      <c r="F15" s="27"/>
      <c r="G15" s="27"/>
      <c r="H15" s="27"/>
      <c r="I15" s="27"/>
      <c r="J15" s="27"/>
      <c r="K15" s="27"/>
      <c r="L15" s="110"/>
      <c r="M15" s="111"/>
    </row>
    <row r="16" spans="1:18" ht="24" hidden="1" customHeight="1">
      <c r="A16" s="188"/>
      <c r="B16" s="151"/>
      <c r="C16" s="25"/>
      <c r="D16" s="25"/>
      <c r="E16" s="25">
        <f>SUM(E17:E41)</f>
        <v>31174.899999999998</v>
      </c>
      <c r="F16" s="25"/>
      <c r="G16" s="25"/>
      <c r="H16" s="25">
        <f>SUM(H17:H41)</f>
        <v>31174.899999999998</v>
      </c>
      <c r="I16" s="36"/>
      <c r="J16" s="36"/>
      <c r="K16" s="27"/>
      <c r="L16" s="110"/>
      <c r="M16" s="111"/>
    </row>
    <row r="17" spans="1:21" ht="78" hidden="1" customHeight="1">
      <c r="A17" s="579" t="s">
        <v>11</v>
      </c>
      <c r="B17" s="585" t="s">
        <v>28</v>
      </c>
      <c r="C17" s="25"/>
      <c r="D17" s="25"/>
      <c r="E17" s="25">
        <v>0</v>
      </c>
      <c r="F17" s="25"/>
      <c r="G17" s="25"/>
      <c r="H17" s="25">
        <v>0</v>
      </c>
      <c r="I17" s="25"/>
      <c r="J17" s="25"/>
      <c r="K17" s="106" t="e">
        <f>#REF!+#REF!+#REF!+#REF!+#REF!+#REF!+#REF!+E17+H17</f>
        <v>#REF!</v>
      </c>
      <c r="L17" s="102" t="s">
        <v>12</v>
      </c>
      <c r="M17" s="112"/>
      <c r="U17" s="185"/>
    </row>
    <row r="18" spans="1:21" ht="210.75" hidden="1" customHeight="1">
      <c r="A18" s="580"/>
      <c r="B18" s="603"/>
      <c r="C18" s="25"/>
      <c r="D18" s="25"/>
      <c r="E18" s="25">
        <v>0</v>
      </c>
      <c r="F18" s="25"/>
      <c r="G18" s="25"/>
      <c r="H18" s="25">
        <v>0</v>
      </c>
      <c r="I18" s="25"/>
      <c r="J18" s="25"/>
      <c r="K18" s="106" t="e">
        <f>#REF!+#REF!+#REF!+#REF!+#REF!+#REF!+#REF!+E18+H18</f>
        <v>#REF!</v>
      </c>
      <c r="L18" s="102" t="s">
        <v>8</v>
      </c>
      <c r="M18" s="112"/>
    </row>
    <row r="19" spans="1:21" ht="60.75" hidden="1" customHeight="1">
      <c r="A19" s="579" t="s">
        <v>11</v>
      </c>
      <c r="B19" s="585" t="s">
        <v>65</v>
      </c>
      <c r="C19" s="25"/>
      <c r="D19" s="25" t="e">
        <f>#REF!-#REF!</f>
        <v>#REF!</v>
      </c>
      <c r="E19" s="25">
        <v>352.2</v>
      </c>
      <c r="F19" s="25"/>
      <c r="G19" s="25"/>
      <c r="H19" s="25">
        <v>352.2</v>
      </c>
      <c r="I19" s="25"/>
      <c r="J19" s="25"/>
      <c r="K19" s="106" t="e">
        <f>#REF!+E19+H19</f>
        <v>#REF!</v>
      </c>
      <c r="L19" s="113" t="s">
        <v>12</v>
      </c>
      <c r="M19" s="102"/>
    </row>
    <row r="20" spans="1:21" ht="60.75" hidden="1" customHeight="1">
      <c r="A20" s="584"/>
      <c r="B20" s="586"/>
      <c r="C20" s="25"/>
      <c r="D20" s="25" t="e">
        <f>#REF!-#REF!</f>
        <v>#REF!</v>
      </c>
      <c r="E20" s="25">
        <v>1761</v>
      </c>
      <c r="F20" s="25">
        <v>1056.5999999999999</v>
      </c>
      <c r="G20" s="25">
        <f>E20-F20</f>
        <v>704.40000000000009</v>
      </c>
      <c r="H20" s="25">
        <v>1761</v>
      </c>
      <c r="I20" s="25">
        <v>1056.5999999999999</v>
      </c>
      <c r="J20" s="25">
        <f>H20-I20</f>
        <v>704.40000000000009</v>
      </c>
      <c r="K20" s="106" t="e">
        <f>#REF!+E20+H20</f>
        <v>#REF!</v>
      </c>
      <c r="L20" s="113" t="s">
        <v>8</v>
      </c>
      <c r="M20" s="102"/>
    </row>
    <row r="21" spans="1:21" ht="68.25" hidden="1" customHeight="1">
      <c r="A21" s="579" t="s">
        <v>13</v>
      </c>
      <c r="B21" s="585" t="s">
        <v>47</v>
      </c>
      <c r="C21" s="25"/>
      <c r="D21" s="25" t="e">
        <f>#REF!-#REF!</f>
        <v>#REF!</v>
      </c>
      <c r="E21" s="25">
        <v>117.4</v>
      </c>
      <c r="F21" s="25"/>
      <c r="G21" s="25"/>
      <c r="H21" s="25">
        <v>117.4</v>
      </c>
      <c r="I21" s="25"/>
      <c r="J21" s="25"/>
      <c r="K21" s="106" t="e">
        <f>#REF!+E21+H21</f>
        <v>#REF!</v>
      </c>
      <c r="L21" s="113" t="s">
        <v>12</v>
      </c>
      <c r="M21" s="102"/>
    </row>
    <row r="22" spans="1:21" ht="68.25" hidden="1" customHeight="1">
      <c r="A22" s="584"/>
      <c r="B22" s="586"/>
      <c r="C22" s="25"/>
      <c r="D22" s="25" t="e">
        <f>#REF!-#REF!</f>
        <v>#REF!</v>
      </c>
      <c r="E22" s="25">
        <v>528.29999999999995</v>
      </c>
      <c r="F22" s="25">
        <v>352.2</v>
      </c>
      <c r="G22" s="25">
        <f>E22-F22</f>
        <v>176.09999999999997</v>
      </c>
      <c r="H22" s="25">
        <v>528.29999999999995</v>
      </c>
      <c r="I22" s="25">
        <v>352.2</v>
      </c>
      <c r="J22" s="25">
        <f>H22-I22</f>
        <v>176.09999999999997</v>
      </c>
      <c r="K22" s="106" t="e">
        <f>#REF!+E22+H22</f>
        <v>#REF!</v>
      </c>
      <c r="L22" s="113" t="s">
        <v>8</v>
      </c>
      <c r="M22" s="102"/>
    </row>
    <row r="23" spans="1:21" ht="24" hidden="1" customHeight="1">
      <c r="A23" s="579" t="s">
        <v>14</v>
      </c>
      <c r="B23" s="585" t="s">
        <v>92</v>
      </c>
      <c r="C23" s="25"/>
      <c r="D23" s="25" t="e">
        <f>#REF!-#REF!</f>
        <v>#REF!</v>
      </c>
      <c r="E23" s="25">
        <v>100</v>
      </c>
      <c r="F23" s="25">
        <v>5.7</v>
      </c>
      <c r="G23" s="25">
        <f>E23-F23</f>
        <v>94.3</v>
      </c>
      <c r="H23" s="25">
        <v>100</v>
      </c>
      <c r="I23" s="25">
        <v>5.7</v>
      </c>
      <c r="J23" s="25">
        <f>H23-I23</f>
        <v>94.3</v>
      </c>
      <c r="K23" s="106" t="e">
        <f>#REF!+E23+H23</f>
        <v>#REF!</v>
      </c>
      <c r="L23" s="113" t="s">
        <v>12</v>
      </c>
      <c r="M23" s="102"/>
    </row>
    <row r="24" spans="1:21" ht="24" hidden="1" customHeight="1">
      <c r="A24" s="587"/>
      <c r="B24" s="588"/>
      <c r="C24" s="25"/>
      <c r="D24" s="25" t="e">
        <f>#REF!-#REF!</f>
        <v>#REF!</v>
      </c>
      <c r="E24" s="25">
        <v>2355</v>
      </c>
      <c r="F24" s="25">
        <v>2000</v>
      </c>
      <c r="G24" s="25">
        <f>E24-F24</f>
        <v>355</v>
      </c>
      <c r="H24" s="25">
        <v>2355</v>
      </c>
      <c r="I24" s="25">
        <v>2000</v>
      </c>
      <c r="J24" s="25">
        <f>H24-I24</f>
        <v>355</v>
      </c>
      <c r="K24" s="106" t="e">
        <f>#REF!+E24+H24</f>
        <v>#REF!</v>
      </c>
      <c r="L24" s="113" t="s">
        <v>8</v>
      </c>
      <c r="M24" s="102"/>
    </row>
    <row r="25" spans="1:21" ht="48" hidden="1">
      <c r="A25" s="584"/>
      <c r="B25" s="586"/>
      <c r="C25" s="25"/>
      <c r="D25" s="25" t="e">
        <f>#REF!-#REF!</f>
        <v>#REF!</v>
      </c>
      <c r="E25" s="25">
        <v>0</v>
      </c>
      <c r="F25" s="25"/>
      <c r="G25" s="25"/>
      <c r="H25" s="25">
        <v>0</v>
      </c>
      <c r="I25" s="25"/>
      <c r="J25" s="25"/>
      <c r="K25" s="106" t="e">
        <f>#REF!+E25+H25</f>
        <v>#REF!</v>
      </c>
      <c r="L25" s="113" t="s">
        <v>9</v>
      </c>
      <c r="M25" s="102"/>
    </row>
    <row r="26" spans="1:21" ht="66.75" customHeight="1">
      <c r="A26" s="583" t="s">
        <v>15</v>
      </c>
      <c r="B26" s="581" t="s">
        <v>70</v>
      </c>
      <c r="C26" s="25">
        <v>100</v>
      </c>
      <c r="D26" s="25">
        <v>100</v>
      </c>
      <c r="E26" s="25">
        <v>100</v>
      </c>
      <c r="F26" s="25">
        <v>7.7</v>
      </c>
      <c r="G26" s="25">
        <f>E26-F26</f>
        <v>92.3</v>
      </c>
      <c r="H26" s="25">
        <v>100</v>
      </c>
      <c r="I26" s="25">
        <v>7.7</v>
      </c>
      <c r="J26" s="25">
        <f>H26-I26</f>
        <v>92.3</v>
      </c>
      <c r="K26" s="106" t="e">
        <f>#REF!+E26+H26</f>
        <v>#REF!</v>
      </c>
      <c r="L26" s="113" t="s">
        <v>12</v>
      </c>
      <c r="M26" s="102"/>
    </row>
    <row r="27" spans="1:21" ht="66.75" customHeight="1">
      <c r="A27" s="599"/>
      <c r="B27" s="589"/>
      <c r="C27" s="25">
        <v>2584.5</v>
      </c>
      <c r="D27" s="25">
        <v>2834.5</v>
      </c>
      <c r="E27" s="25">
        <v>2584.5</v>
      </c>
      <c r="F27" s="25">
        <v>2504.9</v>
      </c>
      <c r="G27" s="25">
        <f>E27-F27</f>
        <v>79.599999999999909</v>
      </c>
      <c r="H27" s="25">
        <v>2584.5</v>
      </c>
      <c r="I27" s="25">
        <v>2504.9</v>
      </c>
      <c r="J27" s="25">
        <f>H27-I27</f>
        <v>79.599999999999909</v>
      </c>
      <c r="K27" s="106" t="e">
        <f>#REF!+E27+H27</f>
        <v>#REF!</v>
      </c>
      <c r="L27" s="113" t="s">
        <v>8</v>
      </c>
      <c r="M27" s="102"/>
    </row>
    <row r="28" spans="1:21" ht="69" hidden="1" customHeight="1">
      <c r="A28" s="583" t="s">
        <v>16</v>
      </c>
      <c r="B28" s="581" t="s">
        <v>39</v>
      </c>
      <c r="C28" s="25"/>
      <c r="D28" s="25" t="e">
        <f>#REF!-#REF!</f>
        <v>#REF!</v>
      </c>
      <c r="E28" s="25">
        <v>0</v>
      </c>
      <c r="F28" s="25">
        <v>3020.3</v>
      </c>
      <c r="G28" s="25">
        <f>E28-F28</f>
        <v>-3020.3</v>
      </c>
      <c r="H28" s="25">
        <v>0</v>
      </c>
      <c r="I28" s="25">
        <v>3020.3</v>
      </c>
      <c r="J28" s="25">
        <f>H28-I28</f>
        <v>-3020.3</v>
      </c>
      <c r="K28" s="106" t="e">
        <f>#REF!+E28+H28</f>
        <v>#REF!</v>
      </c>
      <c r="L28" s="113" t="s">
        <v>12</v>
      </c>
      <c r="M28" s="102"/>
    </row>
    <row r="29" spans="1:21" ht="115.5" hidden="1" customHeight="1">
      <c r="A29" s="584"/>
      <c r="B29" s="589"/>
      <c r="C29" s="25"/>
      <c r="D29" s="25" t="e">
        <f>#REF!-#REF!</f>
        <v>#REF!</v>
      </c>
      <c r="E29" s="25">
        <v>0</v>
      </c>
      <c r="F29" s="25"/>
      <c r="G29" s="25"/>
      <c r="H29" s="25">
        <v>0</v>
      </c>
      <c r="I29" s="25"/>
      <c r="J29" s="25"/>
      <c r="K29" s="106" t="e">
        <f>#REF!+E29+H29</f>
        <v>#REF!</v>
      </c>
      <c r="L29" s="113" t="s">
        <v>8</v>
      </c>
      <c r="M29" s="102"/>
    </row>
    <row r="30" spans="1:21" ht="67.5" hidden="1" customHeight="1">
      <c r="A30" s="583" t="s">
        <v>17</v>
      </c>
      <c r="B30" s="581" t="s">
        <v>75</v>
      </c>
      <c r="C30" s="25"/>
      <c r="D30" s="25" t="e">
        <f>#REF!-#REF!</f>
        <v>#REF!</v>
      </c>
      <c r="E30" s="25">
        <v>234.8</v>
      </c>
      <c r="F30" s="25">
        <v>68.7</v>
      </c>
      <c r="G30" s="25">
        <f t="shared" ref="G30:G33" si="2">E30-F30</f>
        <v>166.10000000000002</v>
      </c>
      <c r="H30" s="25">
        <v>234.8</v>
      </c>
      <c r="I30" s="25">
        <v>68.7</v>
      </c>
      <c r="J30" s="25">
        <f t="shared" ref="J30:J33" si="3">H30-I30</f>
        <v>166.10000000000002</v>
      </c>
      <c r="K30" s="106" t="e">
        <f>#REF!+E30+H30</f>
        <v>#REF!</v>
      </c>
      <c r="L30" s="113" t="s">
        <v>12</v>
      </c>
      <c r="M30" s="102"/>
    </row>
    <row r="31" spans="1:21" ht="67.5" hidden="1" customHeight="1">
      <c r="A31" s="584"/>
      <c r="B31" s="589"/>
      <c r="C31" s="25"/>
      <c r="D31" s="25" t="e">
        <f>#REF!-#REF!</f>
        <v>#REF!</v>
      </c>
      <c r="E31" s="25">
        <v>1584.9</v>
      </c>
      <c r="F31" s="25">
        <v>704.5</v>
      </c>
      <c r="G31" s="25">
        <f t="shared" si="2"/>
        <v>880.40000000000009</v>
      </c>
      <c r="H31" s="25">
        <v>1584.9</v>
      </c>
      <c r="I31" s="25">
        <v>704.5</v>
      </c>
      <c r="J31" s="25">
        <f t="shared" si="3"/>
        <v>880.40000000000009</v>
      </c>
      <c r="K31" s="106" t="e">
        <f>#REF!+E31+H31</f>
        <v>#REF!</v>
      </c>
      <c r="L31" s="113" t="s">
        <v>8</v>
      </c>
      <c r="M31" s="102"/>
    </row>
    <row r="32" spans="1:21" ht="55.5" hidden="1" customHeight="1">
      <c r="A32" s="583" t="s">
        <v>18</v>
      </c>
      <c r="B32" s="581" t="s">
        <v>76</v>
      </c>
      <c r="C32" s="25"/>
      <c r="D32" s="25" t="e">
        <f>#REF!-#REF!</f>
        <v>#REF!</v>
      </c>
      <c r="E32" s="25">
        <v>293.5</v>
      </c>
      <c r="F32" s="25">
        <v>85.9</v>
      </c>
      <c r="G32" s="25">
        <f t="shared" si="2"/>
        <v>207.6</v>
      </c>
      <c r="H32" s="25">
        <v>293.5</v>
      </c>
      <c r="I32" s="25">
        <v>85.9</v>
      </c>
      <c r="J32" s="25">
        <f t="shared" si="3"/>
        <v>207.6</v>
      </c>
      <c r="K32" s="106" t="e">
        <f>#REF!+E32+H32</f>
        <v>#REF!</v>
      </c>
      <c r="L32" s="113" t="s">
        <v>12</v>
      </c>
      <c r="M32" s="102"/>
    </row>
    <row r="33" spans="1:15" ht="63" hidden="1" customHeight="1">
      <c r="A33" s="584"/>
      <c r="B33" s="589"/>
      <c r="C33" s="25"/>
      <c r="D33" s="25" t="e">
        <f>#REF!-#REF!</f>
        <v>#REF!</v>
      </c>
      <c r="E33" s="25">
        <v>880.5</v>
      </c>
      <c r="F33" s="25">
        <v>880.4</v>
      </c>
      <c r="G33" s="25">
        <f t="shared" si="2"/>
        <v>0.10000000000002274</v>
      </c>
      <c r="H33" s="25">
        <v>880.5</v>
      </c>
      <c r="I33" s="25">
        <v>880.4</v>
      </c>
      <c r="J33" s="25">
        <f t="shared" si="3"/>
        <v>0.10000000000002274</v>
      </c>
      <c r="K33" s="106" t="e">
        <f>#REF!+E33+H33</f>
        <v>#REF!</v>
      </c>
      <c r="L33" s="113" t="s">
        <v>8</v>
      </c>
      <c r="M33" s="102"/>
    </row>
    <row r="34" spans="1:15" ht="63" customHeight="1">
      <c r="A34" s="19" t="s">
        <v>19</v>
      </c>
      <c r="B34" s="49" t="s">
        <v>45</v>
      </c>
      <c r="C34" s="25">
        <v>2358.6999999999998</v>
      </c>
      <c r="D34" s="25">
        <v>2139.6</v>
      </c>
      <c r="E34" s="25">
        <v>2056.1</v>
      </c>
      <c r="F34" s="25">
        <v>1456</v>
      </c>
      <c r="G34" s="25">
        <f t="shared" ref="G34:G41" si="4">E34-F34</f>
        <v>600.09999999999991</v>
      </c>
      <c r="H34" s="25">
        <v>2056.1</v>
      </c>
      <c r="I34" s="25">
        <v>1456</v>
      </c>
      <c r="J34" s="25">
        <f t="shared" ref="J34:J41" si="5">H34-I34</f>
        <v>600.09999999999991</v>
      </c>
      <c r="K34" s="106" t="e">
        <f>#REF!+E34+H34</f>
        <v>#REF!</v>
      </c>
      <c r="L34" s="113" t="s">
        <v>12</v>
      </c>
      <c r="M34" s="102"/>
    </row>
    <row r="35" spans="1:15" ht="102.75" customHeight="1">
      <c r="A35" s="19" t="s">
        <v>27</v>
      </c>
      <c r="B35" s="49" t="s">
        <v>41</v>
      </c>
      <c r="C35" s="25">
        <v>11117.2</v>
      </c>
      <c r="D35" s="25">
        <v>20723.900000000001</v>
      </c>
      <c r="E35" s="25">
        <v>8452.5</v>
      </c>
      <c r="F35" s="25">
        <v>6999.2</v>
      </c>
      <c r="G35" s="25">
        <f t="shared" si="4"/>
        <v>1453.3000000000002</v>
      </c>
      <c r="H35" s="25">
        <v>8452.5</v>
      </c>
      <c r="I35" s="25">
        <v>6999.2</v>
      </c>
      <c r="J35" s="25">
        <f t="shared" si="5"/>
        <v>1453.3000000000002</v>
      </c>
      <c r="K35" s="106" t="e">
        <f>#REF!+E35+H35</f>
        <v>#REF!</v>
      </c>
      <c r="L35" s="113" t="s">
        <v>12</v>
      </c>
      <c r="M35" s="102" t="s">
        <v>104</v>
      </c>
    </row>
    <row r="36" spans="1:15" ht="51" customHeight="1">
      <c r="A36" s="19" t="s">
        <v>29</v>
      </c>
      <c r="B36" s="49" t="s">
        <v>44</v>
      </c>
      <c r="C36" s="25">
        <v>3000</v>
      </c>
      <c r="D36" s="25">
        <v>6000</v>
      </c>
      <c r="E36" s="25">
        <v>6000</v>
      </c>
      <c r="F36" s="25">
        <v>3000</v>
      </c>
      <c r="G36" s="25">
        <f t="shared" si="4"/>
        <v>3000</v>
      </c>
      <c r="H36" s="25">
        <v>6000</v>
      </c>
      <c r="I36" s="25">
        <v>3000</v>
      </c>
      <c r="J36" s="25">
        <f t="shared" si="5"/>
        <v>3000</v>
      </c>
      <c r="K36" s="106" t="e">
        <f>#REF!+E36+H36</f>
        <v>#REF!</v>
      </c>
      <c r="L36" s="113" t="s">
        <v>12</v>
      </c>
      <c r="M36" s="102"/>
    </row>
    <row r="37" spans="1:15" ht="91.5" hidden="1" customHeight="1">
      <c r="A37" s="41" t="s">
        <v>30</v>
      </c>
      <c r="B37" s="81" t="s">
        <v>42</v>
      </c>
      <c r="C37" s="26"/>
      <c r="D37" s="25" t="e">
        <f>#REF!-#REF!</f>
        <v>#REF!</v>
      </c>
      <c r="E37" s="25">
        <v>0</v>
      </c>
      <c r="F37" s="25">
        <v>1226.5</v>
      </c>
      <c r="G37" s="25">
        <f t="shared" si="4"/>
        <v>-1226.5</v>
      </c>
      <c r="H37" s="25">
        <v>0</v>
      </c>
      <c r="I37" s="25">
        <v>1226.5</v>
      </c>
      <c r="J37" s="25">
        <f t="shared" si="5"/>
        <v>-1226.5</v>
      </c>
      <c r="K37" s="106" t="e">
        <f>#REF!+E37+H37</f>
        <v>#REF!</v>
      </c>
      <c r="L37" s="113" t="s">
        <v>12</v>
      </c>
      <c r="M37" s="102"/>
    </row>
    <row r="38" spans="1:15" ht="178.5" hidden="1" customHeight="1">
      <c r="A38" s="19" t="s">
        <v>33</v>
      </c>
      <c r="B38" s="49" t="s">
        <v>66</v>
      </c>
      <c r="C38" s="25"/>
      <c r="D38" s="25" t="e">
        <f>#REF!-#REF!</f>
        <v>#REF!</v>
      </c>
      <c r="E38" s="25">
        <v>70</v>
      </c>
      <c r="F38" s="25">
        <v>0</v>
      </c>
      <c r="G38" s="25">
        <f t="shared" si="4"/>
        <v>70</v>
      </c>
      <c r="H38" s="25">
        <v>70</v>
      </c>
      <c r="I38" s="25">
        <v>0</v>
      </c>
      <c r="J38" s="25">
        <f t="shared" si="5"/>
        <v>70</v>
      </c>
      <c r="K38" s="106" t="e">
        <f>#REF!+E38+H38</f>
        <v>#REF!</v>
      </c>
      <c r="L38" s="113" t="s">
        <v>62</v>
      </c>
      <c r="M38" s="102"/>
    </row>
    <row r="39" spans="1:15" ht="38.25" hidden="1" customHeight="1">
      <c r="A39" s="583" t="s">
        <v>40</v>
      </c>
      <c r="B39" s="581" t="s">
        <v>64</v>
      </c>
      <c r="C39" s="25"/>
      <c r="D39" s="25" t="e">
        <f>#REF!-#REF!</f>
        <v>#REF!</v>
      </c>
      <c r="E39" s="25">
        <v>10</v>
      </c>
      <c r="F39" s="25">
        <v>0</v>
      </c>
      <c r="G39" s="25">
        <f t="shared" si="4"/>
        <v>10</v>
      </c>
      <c r="H39" s="25">
        <v>10</v>
      </c>
      <c r="I39" s="25">
        <v>0</v>
      </c>
      <c r="J39" s="25">
        <f t="shared" si="5"/>
        <v>10</v>
      </c>
      <c r="K39" s="106" t="e">
        <f>#REF!+E39+H39</f>
        <v>#REF!</v>
      </c>
      <c r="L39" s="113" t="s">
        <v>12</v>
      </c>
      <c r="M39" s="102"/>
    </row>
    <row r="40" spans="1:15" ht="38.25" hidden="1" customHeight="1">
      <c r="A40" s="551"/>
      <c r="B40" s="582"/>
      <c r="C40" s="25"/>
      <c r="D40" s="25" t="e">
        <f>#REF!-#REF!</f>
        <v>#REF!</v>
      </c>
      <c r="E40" s="25">
        <v>322.60000000000002</v>
      </c>
      <c r="F40" s="25">
        <v>0</v>
      </c>
      <c r="G40" s="25">
        <f t="shared" si="4"/>
        <v>322.60000000000002</v>
      </c>
      <c r="H40" s="25">
        <v>322.60000000000002</v>
      </c>
      <c r="I40" s="25">
        <v>0</v>
      </c>
      <c r="J40" s="25">
        <f t="shared" si="5"/>
        <v>322.60000000000002</v>
      </c>
      <c r="K40" s="106" t="e">
        <f>#REF!+E40+H40</f>
        <v>#REF!</v>
      </c>
      <c r="L40" s="113" t="s">
        <v>62</v>
      </c>
      <c r="M40" s="102"/>
    </row>
    <row r="41" spans="1:15" ht="72">
      <c r="A41" s="19" t="s">
        <v>91</v>
      </c>
      <c r="B41" s="49" t="s">
        <v>43</v>
      </c>
      <c r="C41" s="25">
        <v>5861</v>
      </c>
      <c r="D41" s="202"/>
      <c r="E41" s="25">
        <v>3371.6</v>
      </c>
      <c r="F41" s="25">
        <v>3411.6</v>
      </c>
      <c r="G41" s="25">
        <f t="shared" si="4"/>
        <v>-40</v>
      </c>
      <c r="H41" s="25">
        <v>3371.6</v>
      </c>
      <c r="I41" s="25">
        <v>3411.6</v>
      </c>
      <c r="J41" s="25">
        <f t="shared" si="5"/>
        <v>-40</v>
      </c>
      <c r="K41" s="106" t="e">
        <f>#REF!+E41+H41</f>
        <v>#REF!</v>
      </c>
      <c r="L41" s="113" t="s">
        <v>12</v>
      </c>
      <c r="M41" s="102"/>
    </row>
    <row r="42" spans="1:15" ht="96">
      <c r="A42" s="41" t="s">
        <v>98</v>
      </c>
      <c r="B42" s="81" t="s">
        <v>105</v>
      </c>
      <c r="C42" s="25">
        <v>566.79999999999995</v>
      </c>
      <c r="D42" s="25">
        <v>566.79999999999995</v>
      </c>
      <c r="E42" s="25"/>
      <c r="F42" s="25"/>
      <c r="G42" s="25"/>
      <c r="H42" s="25"/>
      <c r="I42" s="25"/>
      <c r="J42" s="25"/>
      <c r="K42" s="106"/>
      <c r="L42" s="113" t="s">
        <v>12</v>
      </c>
      <c r="M42" s="102"/>
    </row>
    <row r="43" spans="1:15" ht="24">
      <c r="A43" s="618">
        <v>2</v>
      </c>
      <c r="B43" s="581" t="s">
        <v>32</v>
      </c>
      <c r="C43" s="25">
        <f>C47+C51</f>
        <v>560</v>
      </c>
      <c r="D43" s="25">
        <f>D47+D51</f>
        <v>560</v>
      </c>
      <c r="E43" s="25">
        <f t="shared" ref="E43:F44" si="6">E47+E51</f>
        <v>562</v>
      </c>
      <c r="F43" s="25">
        <f t="shared" si="6"/>
        <v>12.2</v>
      </c>
      <c r="G43" s="25">
        <f>E43-F43</f>
        <v>549.79999999999995</v>
      </c>
      <c r="H43" s="25">
        <f t="shared" ref="H43:I44" si="7">H47+H51</f>
        <v>0</v>
      </c>
      <c r="I43" s="25">
        <f t="shared" si="7"/>
        <v>12.2</v>
      </c>
      <c r="J43" s="25">
        <f>H43-I43</f>
        <v>-12.2</v>
      </c>
      <c r="K43" s="106" t="e">
        <f>#REF!+E43+H43</f>
        <v>#REF!</v>
      </c>
      <c r="L43" s="113" t="s">
        <v>12</v>
      </c>
      <c r="M43" s="109"/>
      <c r="O43" s="185"/>
    </row>
    <row r="44" spans="1:15" ht="24">
      <c r="A44" s="619"/>
      <c r="B44" s="590"/>
      <c r="C44" s="25">
        <f>C48+C52</f>
        <v>1015.8</v>
      </c>
      <c r="D44" s="25">
        <f>D48+D52</f>
        <v>1015.8</v>
      </c>
      <c r="E44" s="25">
        <f t="shared" si="6"/>
        <v>8035.7</v>
      </c>
      <c r="F44" s="25">
        <f t="shared" si="6"/>
        <v>811.6</v>
      </c>
      <c r="G44" s="25">
        <f t="shared" ref="G44:G46" si="8">E44-F44</f>
        <v>7224.0999999999995</v>
      </c>
      <c r="H44" s="25">
        <f t="shared" si="7"/>
        <v>0</v>
      </c>
      <c r="I44" s="25">
        <f t="shared" si="7"/>
        <v>811.6</v>
      </c>
      <c r="J44" s="25">
        <f t="shared" ref="J44:J46" si="9">H44-I44</f>
        <v>-811.6</v>
      </c>
      <c r="K44" s="106" t="e">
        <f>#REF!+E44+H44</f>
        <v>#REF!</v>
      </c>
      <c r="L44" s="113" t="s">
        <v>8</v>
      </c>
      <c r="M44" s="109"/>
      <c r="O44" s="185"/>
    </row>
    <row r="45" spans="1:15" ht="48">
      <c r="A45" s="619"/>
      <c r="B45" s="589"/>
      <c r="C45" s="25">
        <f>C49+C53</f>
        <v>6692.4</v>
      </c>
      <c r="D45" s="25">
        <f t="shared" ref="D45:K45" si="10">D49+D53</f>
        <v>6692.4</v>
      </c>
      <c r="E45" s="25">
        <f t="shared" si="10"/>
        <v>0</v>
      </c>
      <c r="F45" s="25">
        <f t="shared" si="10"/>
        <v>3053.1</v>
      </c>
      <c r="G45" s="25">
        <f t="shared" si="10"/>
        <v>-3053.1</v>
      </c>
      <c r="H45" s="25">
        <f t="shared" si="10"/>
        <v>0</v>
      </c>
      <c r="I45" s="25">
        <f t="shared" si="10"/>
        <v>3053.1</v>
      </c>
      <c r="J45" s="25">
        <f t="shared" si="10"/>
        <v>-3053.1</v>
      </c>
      <c r="K45" s="25" t="e">
        <f t="shared" si="10"/>
        <v>#REF!</v>
      </c>
      <c r="L45" s="113" t="s">
        <v>9</v>
      </c>
      <c r="M45" s="102"/>
      <c r="O45" s="185"/>
    </row>
    <row r="46" spans="1:15" s="190" customFormat="1" ht="205.5" customHeight="1">
      <c r="A46" s="615"/>
      <c r="B46" s="29" t="s">
        <v>38</v>
      </c>
      <c r="C46" s="25">
        <f>C43+C44+C45</f>
        <v>8268.1999999999989</v>
      </c>
      <c r="D46" s="25">
        <f>D43+D44+D45</f>
        <v>8268.1999999999989</v>
      </c>
      <c r="E46" s="25">
        <f t="shared" ref="E46:F46" si="11">E43+E44+E45</f>
        <v>8597.7000000000007</v>
      </c>
      <c r="F46" s="25">
        <f t="shared" si="11"/>
        <v>3876.9</v>
      </c>
      <c r="G46" s="25">
        <f t="shared" si="8"/>
        <v>4720.8000000000011</v>
      </c>
      <c r="H46" s="25">
        <f t="shared" ref="H46:I46" si="12">H43+H44+H45</f>
        <v>0</v>
      </c>
      <c r="I46" s="25">
        <f t="shared" si="12"/>
        <v>3876.9</v>
      </c>
      <c r="J46" s="25">
        <f t="shared" si="9"/>
        <v>-3876.9</v>
      </c>
      <c r="K46" s="106" t="e">
        <f>#REF!+E46+H46</f>
        <v>#REF!</v>
      </c>
      <c r="L46" s="113"/>
      <c r="M46" s="102"/>
      <c r="O46" s="191"/>
    </row>
    <row r="47" spans="1:15" ht="72.75" customHeight="1">
      <c r="A47" s="616" t="s">
        <v>48</v>
      </c>
      <c r="B47" s="591" t="s">
        <v>59</v>
      </c>
      <c r="C47" s="25">
        <v>500</v>
      </c>
      <c r="D47" s="25">
        <v>500</v>
      </c>
      <c r="E47" s="25">
        <v>500</v>
      </c>
      <c r="F47" s="25">
        <v>12.2</v>
      </c>
      <c r="G47" s="25">
        <f>E47-F47</f>
        <v>487.8</v>
      </c>
      <c r="H47" s="25">
        <v>0</v>
      </c>
      <c r="I47" s="25">
        <v>12.2</v>
      </c>
      <c r="J47" s="25">
        <f>H47-I47</f>
        <v>-12.2</v>
      </c>
      <c r="K47" s="106" t="e">
        <f>#REF!+E47+H47</f>
        <v>#REF!</v>
      </c>
      <c r="L47" s="113" t="s">
        <v>12</v>
      </c>
      <c r="M47" s="102"/>
    </row>
    <row r="48" spans="1:15" ht="39" customHeight="1">
      <c r="A48" s="617"/>
      <c r="B48" s="592"/>
      <c r="C48" s="25">
        <v>874.6</v>
      </c>
      <c r="D48" s="25">
        <v>874.6</v>
      </c>
      <c r="E48" s="25">
        <v>4355.5</v>
      </c>
      <c r="F48" s="25">
        <v>811.6</v>
      </c>
      <c r="G48" s="25">
        <f t="shared" ref="G48:G49" si="13">E48-F48</f>
        <v>3543.9</v>
      </c>
      <c r="H48" s="25">
        <v>0</v>
      </c>
      <c r="I48" s="25">
        <v>811.6</v>
      </c>
      <c r="J48" s="25">
        <f t="shared" ref="J48:J49" si="14">H48-I48</f>
        <v>-811.6</v>
      </c>
      <c r="K48" s="106" t="e">
        <f>#REF!+E48+H48</f>
        <v>#REF!</v>
      </c>
      <c r="L48" s="113" t="s">
        <v>8</v>
      </c>
      <c r="M48" s="102"/>
    </row>
    <row r="49" spans="1:15" ht="39" customHeight="1">
      <c r="A49" s="617"/>
      <c r="B49" s="593"/>
      <c r="C49" s="25">
        <v>3290.2</v>
      </c>
      <c r="D49" s="25">
        <v>3290.2</v>
      </c>
      <c r="E49" s="25">
        <v>0</v>
      </c>
      <c r="F49" s="25">
        <v>3053.1</v>
      </c>
      <c r="G49" s="25">
        <f t="shared" si="13"/>
        <v>-3053.1</v>
      </c>
      <c r="H49" s="25">
        <v>0</v>
      </c>
      <c r="I49" s="25">
        <v>3053.1</v>
      </c>
      <c r="J49" s="25">
        <f t="shared" si="14"/>
        <v>-3053.1</v>
      </c>
      <c r="K49" s="106" t="e">
        <f>#REF!+E49+H49</f>
        <v>#REF!</v>
      </c>
      <c r="L49" s="113" t="s">
        <v>9</v>
      </c>
      <c r="M49" s="102"/>
    </row>
    <row r="50" spans="1:15" ht="92.25" customHeight="1">
      <c r="A50" s="615"/>
      <c r="B50" s="29" t="s">
        <v>60</v>
      </c>
      <c r="C50" s="25">
        <f t="shared" ref="C50:J50" si="15">C47+C48+C49</f>
        <v>4664.7999999999993</v>
      </c>
      <c r="D50" s="25">
        <f t="shared" si="15"/>
        <v>4664.7999999999993</v>
      </c>
      <c r="E50" s="25">
        <f t="shared" si="15"/>
        <v>4855.5</v>
      </c>
      <c r="F50" s="25">
        <f t="shared" si="15"/>
        <v>3876.9</v>
      </c>
      <c r="G50" s="25">
        <f t="shared" si="15"/>
        <v>978.60000000000036</v>
      </c>
      <c r="H50" s="25">
        <f t="shared" si="15"/>
        <v>0</v>
      </c>
      <c r="I50" s="25">
        <f t="shared" si="15"/>
        <v>3876.9</v>
      </c>
      <c r="J50" s="25">
        <f t="shared" si="15"/>
        <v>-3876.9</v>
      </c>
      <c r="K50" s="106"/>
      <c r="L50" s="113"/>
      <c r="M50" s="102"/>
    </row>
    <row r="51" spans="1:15" ht="87.75" customHeight="1">
      <c r="A51" s="616" t="s">
        <v>61</v>
      </c>
      <c r="B51" s="594" t="s">
        <v>63</v>
      </c>
      <c r="C51" s="25">
        <v>60</v>
      </c>
      <c r="D51" s="25">
        <v>60</v>
      </c>
      <c r="E51" s="25">
        <v>62</v>
      </c>
      <c r="F51" s="25">
        <v>0</v>
      </c>
      <c r="G51" s="25">
        <f>E51-F51</f>
        <v>62</v>
      </c>
      <c r="H51" s="25">
        <v>0</v>
      </c>
      <c r="I51" s="25">
        <v>0</v>
      </c>
      <c r="J51" s="25">
        <f>H51-I51</f>
        <v>0</v>
      </c>
      <c r="K51" s="106" t="e">
        <f>#REF!+E51+H51</f>
        <v>#REF!</v>
      </c>
      <c r="L51" s="113" t="s">
        <v>12</v>
      </c>
      <c r="M51" s="102"/>
    </row>
    <row r="52" spans="1:15" ht="41.25" customHeight="1">
      <c r="A52" s="617"/>
      <c r="B52" s="595"/>
      <c r="C52" s="25">
        <v>141.19999999999999</v>
      </c>
      <c r="D52" s="25">
        <v>141.19999999999999</v>
      </c>
      <c r="E52" s="25">
        <v>3680.2</v>
      </c>
      <c r="F52" s="25">
        <v>0</v>
      </c>
      <c r="G52" s="25">
        <f>E52-F52</f>
        <v>3680.2</v>
      </c>
      <c r="H52" s="25">
        <v>0</v>
      </c>
      <c r="I52" s="25">
        <v>0</v>
      </c>
      <c r="J52" s="25">
        <f t="shared" ref="J52:J53" si="16">H52-I52</f>
        <v>0</v>
      </c>
      <c r="K52" s="106" t="e">
        <f>#REF!+E52+H52</f>
        <v>#REF!</v>
      </c>
      <c r="L52" s="113" t="s">
        <v>8</v>
      </c>
      <c r="M52" s="102"/>
    </row>
    <row r="53" spans="1:15" ht="37.5" customHeight="1">
      <c r="A53" s="617"/>
      <c r="B53" s="596"/>
      <c r="C53" s="25">
        <v>3402.2</v>
      </c>
      <c r="D53" s="25">
        <v>3402.2</v>
      </c>
      <c r="E53" s="25">
        <v>0</v>
      </c>
      <c r="F53" s="25"/>
      <c r="G53" s="25"/>
      <c r="H53" s="25">
        <v>0</v>
      </c>
      <c r="I53" s="25">
        <v>0</v>
      </c>
      <c r="J53" s="25">
        <f t="shared" si="16"/>
        <v>0</v>
      </c>
      <c r="K53" s="106" t="e">
        <f>#REF!+E53+H53</f>
        <v>#REF!</v>
      </c>
      <c r="L53" s="113" t="s">
        <v>9</v>
      </c>
      <c r="M53" s="102"/>
    </row>
    <row r="54" spans="1:15" ht="237" customHeight="1">
      <c r="A54" s="615"/>
      <c r="B54" s="29" t="s">
        <v>69</v>
      </c>
      <c r="C54" s="28">
        <f t="shared" ref="C54:K54" si="17">C51+C52+C53</f>
        <v>3603.3999999999996</v>
      </c>
      <c r="D54" s="28">
        <f t="shared" si="17"/>
        <v>3603.3999999999996</v>
      </c>
      <c r="E54" s="28">
        <f t="shared" si="17"/>
        <v>3742.2</v>
      </c>
      <c r="F54" s="28">
        <f t="shared" si="17"/>
        <v>0</v>
      </c>
      <c r="G54" s="28">
        <f t="shared" si="17"/>
        <v>3742.2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 t="e">
        <f t="shared" si="17"/>
        <v>#REF!</v>
      </c>
      <c r="L54" s="113"/>
      <c r="M54" s="102"/>
    </row>
    <row r="55" spans="1:15" ht="90.75" customHeight="1">
      <c r="A55" s="192">
        <v>3</v>
      </c>
      <c r="B55" s="104" t="s">
        <v>51</v>
      </c>
      <c r="C55" s="28">
        <v>7251.3</v>
      </c>
      <c r="D55" s="25">
        <v>7506.7</v>
      </c>
      <c r="E55" s="28">
        <v>6849.6</v>
      </c>
      <c r="F55" s="28">
        <v>5613.4</v>
      </c>
      <c r="G55" s="28">
        <f>E55-F55</f>
        <v>1236.2000000000007</v>
      </c>
      <c r="H55" s="28">
        <v>6849.6</v>
      </c>
      <c r="I55" s="28">
        <v>5613.4</v>
      </c>
      <c r="J55" s="28">
        <f>H55-I55</f>
        <v>1236.2000000000007</v>
      </c>
      <c r="K55" s="106" t="e">
        <f>#REF!+E55+H55</f>
        <v>#REF!</v>
      </c>
      <c r="L55" s="113" t="s">
        <v>12</v>
      </c>
      <c r="M55" s="102"/>
    </row>
    <row r="56" spans="1:15" ht="51.75" customHeight="1">
      <c r="A56" s="613">
        <v>4</v>
      </c>
      <c r="B56" s="149" t="s">
        <v>86</v>
      </c>
      <c r="C56" s="28">
        <f>C57+C58</f>
        <v>40000</v>
      </c>
      <c r="D56" s="28">
        <f>D57+D58</f>
        <v>40000</v>
      </c>
      <c r="E56" s="28"/>
      <c r="F56" s="28"/>
      <c r="G56" s="28"/>
      <c r="H56" s="28"/>
      <c r="I56" s="24"/>
      <c r="J56" s="24"/>
      <c r="K56" s="114"/>
      <c r="L56" s="113"/>
      <c r="M56" s="102"/>
    </row>
    <row r="57" spans="1:15" ht="90" customHeight="1">
      <c r="A57" s="614"/>
      <c r="B57" s="585" t="s">
        <v>87</v>
      </c>
      <c r="C57" s="28">
        <v>40</v>
      </c>
      <c r="D57" s="25">
        <v>40</v>
      </c>
      <c r="E57" s="28"/>
      <c r="F57" s="28"/>
      <c r="G57" s="28"/>
      <c r="H57" s="28"/>
      <c r="I57" s="24"/>
      <c r="J57" s="24"/>
      <c r="K57" s="114"/>
      <c r="L57" s="113" t="s">
        <v>12</v>
      </c>
      <c r="M57" s="102" t="s">
        <v>93</v>
      </c>
    </row>
    <row r="58" spans="1:15" ht="123.75" customHeight="1">
      <c r="A58" s="615"/>
      <c r="B58" s="582"/>
      <c r="C58" s="28">
        <v>39960</v>
      </c>
      <c r="D58" s="25">
        <v>39960</v>
      </c>
      <c r="E58" s="28"/>
      <c r="F58" s="28"/>
      <c r="G58" s="28"/>
      <c r="H58" s="28"/>
      <c r="I58" s="24"/>
      <c r="J58" s="24"/>
      <c r="K58" s="114"/>
      <c r="L58" s="113" t="s">
        <v>8</v>
      </c>
      <c r="M58" s="102" t="s">
        <v>93</v>
      </c>
    </row>
    <row r="59" spans="1:15" ht="93.75" customHeight="1">
      <c r="A59" s="187">
        <v>5</v>
      </c>
      <c r="B59" s="149" t="s">
        <v>100</v>
      </c>
      <c r="C59" s="28">
        <v>87288.9</v>
      </c>
      <c r="D59" s="28">
        <v>87288.9</v>
      </c>
      <c r="E59" s="28"/>
      <c r="F59" s="28"/>
      <c r="G59" s="28"/>
      <c r="H59" s="28"/>
      <c r="I59" s="24"/>
      <c r="J59" s="24"/>
      <c r="K59" s="114"/>
      <c r="L59" s="113"/>
      <c r="M59" s="102" t="s">
        <v>95</v>
      </c>
    </row>
    <row r="60" spans="1:15" ht="159.75" hidden="1" customHeight="1">
      <c r="A60" s="187"/>
      <c r="B60" s="149" t="s">
        <v>94</v>
      </c>
      <c r="C60" s="28"/>
      <c r="D60" s="25"/>
      <c r="E60" s="28"/>
      <c r="F60" s="28"/>
      <c r="G60" s="28"/>
      <c r="H60" s="28"/>
      <c r="I60" s="24"/>
      <c r="J60" s="24"/>
      <c r="K60" s="114"/>
      <c r="L60" s="113"/>
      <c r="M60" s="102"/>
    </row>
    <row r="61" spans="1:15" s="88" customFormat="1" ht="60.75" customHeight="1">
      <c r="A61" s="193"/>
      <c r="B61" s="152" t="s">
        <v>20</v>
      </c>
      <c r="C61" s="115">
        <f>C11+C43+C55+C57+C59</f>
        <v>118143.9</v>
      </c>
      <c r="D61" s="115">
        <f>D11+D43+D55+D57+D59</f>
        <v>124925.9</v>
      </c>
      <c r="E61" s="115">
        <f>E11+E55+E43</f>
        <v>28499.699999999997</v>
      </c>
      <c r="F61" s="115">
        <v>25376.799999999999</v>
      </c>
      <c r="G61" s="115">
        <f>E61-F61</f>
        <v>3122.8999999999978</v>
      </c>
      <c r="H61" s="115">
        <f>H11+H55+H47</f>
        <v>27937.699999999997</v>
      </c>
      <c r="I61" s="116">
        <v>25376.799999999999</v>
      </c>
      <c r="J61" s="116">
        <f>H61-I61</f>
        <v>2560.8999999999978</v>
      </c>
      <c r="K61" s="117" t="e">
        <f>#REF!+E61+H61</f>
        <v>#REF!</v>
      </c>
      <c r="L61" s="118"/>
      <c r="M61" s="119"/>
      <c r="O61" s="194"/>
    </row>
    <row r="62" spans="1:15" s="88" customFormat="1" ht="45.75" customHeight="1">
      <c r="A62" s="193"/>
      <c r="B62" s="153" t="s">
        <v>21</v>
      </c>
      <c r="C62" s="115">
        <f>C12+C58+C52+C48</f>
        <v>43560.299999999996</v>
      </c>
      <c r="D62" s="115">
        <f>D12+D58+D52+D48</f>
        <v>43810.299999999996</v>
      </c>
      <c r="E62" s="115" t="e">
        <f>E44+E12</f>
        <v>#REF!</v>
      </c>
      <c r="F62" s="115">
        <v>8310.2000000000007</v>
      </c>
      <c r="G62" s="115" t="e">
        <f t="shared" ref="G62:G64" si="18">E62-F62</f>
        <v>#REF!</v>
      </c>
      <c r="H62" s="115" t="e">
        <f>H44+H12</f>
        <v>#REF!</v>
      </c>
      <c r="I62" s="116">
        <v>8310.2000000000007</v>
      </c>
      <c r="J62" s="116" t="e">
        <f t="shared" ref="J62:J64" si="19">H62-I62</f>
        <v>#REF!</v>
      </c>
      <c r="K62" s="117" t="e">
        <f>#REF!+E62+H62</f>
        <v>#REF!</v>
      </c>
      <c r="L62" s="118"/>
      <c r="M62" s="120"/>
      <c r="O62" s="194"/>
    </row>
    <row r="63" spans="1:15" s="88" customFormat="1" ht="54.75" customHeight="1">
      <c r="A63" s="193"/>
      <c r="B63" s="153" t="s">
        <v>9</v>
      </c>
      <c r="C63" s="115">
        <f>C53+C49</f>
        <v>6692.4</v>
      </c>
      <c r="D63" s="115">
        <f>D53+D49</f>
        <v>6692.4</v>
      </c>
      <c r="E63" s="115">
        <f>E45</f>
        <v>0</v>
      </c>
      <c r="F63" s="115">
        <v>3053.1</v>
      </c>
      <c r="G63" s="115">
        <f t="shared" si="18"/>
        <v>-3053.1</v>
      </c>
      <c r="H63" s="115">
        <f>H45</f>
        <v>0</v>
      </c>
      <c r="I63" s="116">
        <v>3053.1</v>
      </c>
      <c r="J63" s="116">
        <f t="shared" si="19"/>
        <v>-3053.1</v>
      </c>
      <c r="K63" s="117" t="e">
        <f>#REF!+E63+H63</f>
        <v>#REF!</v>
      </c>
      <c r="L63" s="121"/>
      <c r="M63" s="122"/>
      <c r="O63" s="194"/>
    </row>
    <row r="64" spans="1:15" s="88" customFormat="1" ht="49.5" customHeight="1">
      <c r="A64" s="193"/>
      <c r="B64" s="152" t="s">
        <v>22</v>
      </c>
      <c r="C64" s="115">
        <f>C61+C62+C63</f>
        <v>168396.59999999998</v>
      </c>
      <c r="D64" s="115">
        <f>D61+D62+D63</f>
        <v>175428.59999999998</v>
      </c>
      <c r="E64" s="115" t="e">
        <f>E14+E46+E55</f>
        <v>#REF!</v>
      </c>
      <c r="F64" s="115">
        <v>36740.1</v>
      </c>
      <c r="G64" s="115" t="e">
        <f t="shared" si="18"/>
        <v>#REF!</v>
      </c>
      <c r="H64" s="115" t="e">
        <f>H14+H46+H55</f>
        <v>#REF!</v>
      </c>
      <c r="I64" s="115">
        <v>36740.1</v>
      </c>
      <c r="J64" s="116" t="e">
        <f t="shared" si="19"/>
        <v>#REF!</v>
      </c>
      <c r="K64" s="115" t="e">
        <f>K14+K46+K55</f>
        <v>#REF!</v>
      </c>
      <c r="L64" s="123"/>
      <c r="M64" s="124"/>
      <c r="O64" s="194"/>
    </row>
    <row r="65" spans="1:15" s="88" customFormat="1" ht="49.5" hidden="1" customHeight="1">
      <c r="A65" s="195"/>
      <c r="B65" s="154"/>
      <c r="C65" s="125"/>
      <c r="D65" s="125"/>
      <c r="E65" s="125"/>
      <c r="F65" s="125"/>
      <c r="G65" s="125"/>
      <c r="H65" s="125"/>
      <c r="I65" s="125"/>
      <c r="J65" s="126"/>
      <c r="K65" s="125"/>
      <c r="L65" s="127"/>
      <c r="M65" s="128"/>
      <c r="O65" s="194"/>
    </row>
    <row r="66" spans="1:15" s="88" customFormat="1" ht="49.5" hidden="1" customHeight="1">
      <c r="A66" s="195"/>
      <c r="B66" s="154"/>
      <c r="C66" s="125"/>
      <c r="D66" s="125"/>
      <c r="E66" s="125"/>
      <c r="F66" s="125"/>
      <c r="G66" s="125"/>
      <c r="H66" s="125"/>
      <c r="I66" s="125"/>
      <c r="J66" s="126"/>
      <c r="K66" s="125"/>
      <c r="L66" s="127"/>
      <c r="M66" s="128"/>
      <c r="O66" s="194"/>
    </row>
    <row r="67" spans="1:15" s="183" customFormat="1" ht="63" customHeight="1">
      <c r="A67" s="597" t="s">
        <v>23</v>
      </c>
      <c r="B67" s="598"/>
      <c r="C67" s="598"/>
      <c r="D67" s="598"/>
      <c r="E67" s="598"/>
      <c r="F67" s="598"/>
      <c r="G67" s="598"/>
      <c r="H67" s="598"/>
      <c r="I67" s="598"/>
      <c r="J67" s="598"/>
      <c r="K67" s="598"/>
      <c r="L67" s="598"/>
      <c r="M67" s="129"/>
      <c r="O67" s="89"/>
    </row>
    <row r="68" spans="1:15" s="90" customFormat="1" ht="49.5" customHeight="1">
      <c r="A68" s="600" t="s">
        <v>56</v>
      </c>
      <c r="B68" s="601"/>
      <c r="C68" s="601"/>
      <c r="D68" s="601"/>
      <c r="E68" s="601"/>
      <c r="F68" s="601"/>
      <c r="G68" s="601"/>
      <c r="H68" s="601"/>
      <c r="I68" s="601"/>
      <c r="J68" s="601"/>
      <c r="K68" s="601"/>
      <c r="L68" s="602"/>
      <c r="M68" s="104"/>
      <c r="O68" s="196"/>
    </row>
    <row r="69" spans="1:15" s="90" customFormat="1" ht="47.25" customHeight="1">
      <c r="A69" s="604" t="s">
        <v>50</v>
      </c>
      <c r="B69" s="605"/>
      <c r="C69" s="605"/>
      <c r="D69" s="605"/>
      <c r="E69" s="605"/>
      <c r="F69" s="605"/>
      <c r="G69" s="605"/>
      <c r="H69" s="605"/>
      <c r="I69" s="605"/>
      <c r="J69" s="605"/>
      <c r="K69" s="605"/>
      <c r="L69" s="606"/>
      <c r="M69" s="130"/>
    </row>
    <row r="70" spans="1:15" ht="115.5" customHeight="1">
      <c r="A70" s="197">
        <v>4</v>
      </c>
      <c r="B70" s="148" t="s">
        <v>34</v>
      </c>
      <c r="C70" s="42">
        <f>C71+C72+C73+C74+C75+C76+C77+C78+C79+C80+C81+C82+C83+C84+C85+C86+C87+C88+C89</f>
        <v>392936.81</v>
      </c>
      <c r="D70" s="24">
        <f>D71+D72+D73+D74+D75+D76+D77+D78+D79+D80+D81+D82+D83+D84+D85+D86+D87+D88+D89</f>
        <v>273051.94799999997</v>
      </c>
      <c r="E70" s="24">
        <f>E71+E72+E73</f>
        <v>216547.20000000001</v>
      </c>
      <c r="F70" s="24">
        <v>197450.2</v>
      </c>
      <c r="G70" s="24">
        <f>E70-F70</f>
        <v>19097</v>
      </c>
      <c r="H70" s="24">
        <f>H71+H72+H73</f>
        <v>216547.20000000001</v>
      </c>
      <c r="I70" s="24">
        <v>197450.2</v>
      </c>
      <c r="J70" s="24">
        <f>H70-I70</f>
        <v>19097</v>
      </c>
      <c r="K70" s="24" t="e">
        <f>K71+K72+K73</f>
        <v>#REF!</v>
      </c>
      <c r="L70" s="102" t="s">
        <v>12</v>
      </c>
      <c r="M70" s="102"/>
    </row>
    <row r="71" spans="1:15" ht="79.5" customHeight="1">
      <c r="A71" s="198" t="s">
        <v>54</v>
      </c>
      <c r="B71" s="104" t="s">
        <v>36</v>
      </c>
      <c r="C71" s="42">
        <v>280315.09999999998</v>
      </c>
      <c r="D71" s="24"/>
      <c r="E71" s="24">
        <v>207874.7</v>
      </c>
      <c r="F71" s="24">
        <v>197450.2</v>
      </c>
      <c r="G71" s="24">
        <f t="shared" ref="G71:G73" si="20">E71-F71</f>
        <v>10424.5</v>
      </c>
      <c r="H71" s="24">
        <v>207874.7</v>
      </c>
      <c r="I71" s="24">
        <v>197450.2</v>
      </c>
      <c r="J71" s="24">
        <f t="shared" ref="J71:J73" si="21">H71-I71</f>
        <v>10424.5</v>
      </c>
      <c r="K71" s="131" t="e">
        <f>#REF!+E71+H71</f>
        <v>#REF!</v>
      </c>
      <c r="L71" s="132" t="s">
        <v>12</v>
      </c>
      <c r="M71" s="102"/>
    </row>
    <row r="72" spans="1:15" ht="137.25" customHeight="1">
      <c r="A72" s="198" t="s">
        <v>55</v>
      </c>
      <c r="B72" s="49" t="s">
        <v>35</v>
      </c>
      <c r="C72" s="42">
        <v>87783.58</v>
      </c>
      <c r="D72" s="24">
        <v>136702.21799999999</v>
      </c>
      <c r="E72" s="24">
        <v>4172.5</v>
      </c>
      <c r="F72" s="24">
        <v>0</v>
      </c>
      <c r="G72" s="24">
        <f t="shared" si="20"/>
        <v>4172.5</v>
      </c>
      <c r="H72" s="24">
        <v>4172.5</v>
      </c>
      <c r="I72" s="24">
        <v>0</v>
      </c>
      <c r="J72" s="24">
        <f t="shared" si="21"/>
        <v>4172.5</v>
      </c>
      <c r="K72" s="131" t="e">
        <f>#REF!+E72+H72</f>
        <v>#REF!</v>
      </c>
      <c r="L72" s="102" t="s">
        <v>12</v>
      </c>
      <c r="M72" s="102" t="s">
        <v>121</v>
      </c>
    </row>
    <row r="73" spans="1:15" ht="137.25" customHeight="1">
      <c r="A73" s="189" t="s">
        <v>57</v>
      </c>
      <c r="B73" s="155" t="s">
        <v>58</v>
      </c>
      <c r="C73" s="133">
        <v>3000</v>
      </c>
      <c r="D73" s="24">
        <v>3000</v>
      </c>
      <c r="E73" s="133">
        <v>4500</v>
      </c>
      <c r="F73" s="133">
        <v>0</v>
      </c>
      <c r="G73" s="24">
        <f t="shared" si="20"/>
        <v>4500</v>
      </c>
      <c r="H73" s="133">
        <v>4500</v>
      </c>
      <c r="I73" s="133">
        <v>0</v>
      </c>
      <c r="J73" s="24">
        <f t="shared" si="21"/>
        <v>4500</v>
      </c>
      <c r="K73" s="114" t="e">
        <f>#REF!+E73+H73</f>
        <v>#REF!</v>
      </c>
      <c r="L73" s="102" t="s">
        <v>12</v>
      </c>
      <c r="M73" s="102" t="s">
        <v>113</v>
      </c>
    </row>
    <row r="74" spans="1:15" ht="137.25" customHeight="1">
      <c r="A74" s="189" t="s">
        <v>68</v>
      </c>
      <c r="B74" s="49" t="s">
        <v>67</v>
      </c>
      <c r="C74" s="203">
        <v>0</v>
      </c>
      <c r="D74" s="24">
        <v>15937.7</v>
      </c>
      <c r="E74" s="37">
        <v>12417.7</v>
      </c>
      <c r="F74" s="37">
        <v>1226.5</v>
      </c>
      <c r="G74" s="37">
        <v>0</v>
      </c>
      <c r="H74" s="37">
        <v>2417.6999999999998</v>
      </c>
      <c r="I74" s="37">
        <v>0</v>
      </c>
      <c r="J74" s="37">
        <f>H74-I74</f>
        <v>2417.6999999999998</v>
      </c>
      <c r="K74" s="134" t="e">
        <f>#REF!+E74+H74</f>
        <v>#REF!</v>
      </c>
      <c r="L74" s="102" t="s">
        <v>12</v>
      </c>
      <c r="M74" s="102"/>
    </row>
    <row r="75" spans="1:15" ht="248.25" customHeight="1">
      <c r="A75" s="189" t="s">
        <v>89</v>
      </c>
      <c r="B75" s="49" t="s">
        <v>88</v>
      </c>
      <c r="C75" s="80">
        <v>13204.93</v>
      </c>
      <c r="D75" s="24">
        <v>15481.83</v>
      </c>
      <c r="E75" s="37"/>
      <c r="F75" s="37"/>
      <c r="G75" s="37"/>
      <c r="H75" s="37"/>
      <c r="I75" s="80"/>
      <c r="J75" s="80"/>
      <c r="K75" s="135"/>
      <c r="L75" s="102" t="s">
        <v>12</v>
      </c>
      <c r="M75" s="102" t="s">
        <v>103</v>
      </c>
    </row>
    <row r="76" spans="1:15" ht="24" customHeight="1">
      <c r="A76" s="579" t="s">
        <v>106</v>
      </c>
      <c r="B76" s="585" t="s">
        <v>92</v>
      </c>
      <c r="C76" s="37">
        <v>100</v>
      </c>
      <c r="D76" s="25">
        <v>100</v>
      </c>
      <c r="E76" s="25">
        <v>100</v>
      </c>
      <c r="F76" s="25">
        <v>5.7</v>
      </c>
      <c r="G76" s="25">
        <f>E76-F76</f>
        <v>94.3</v>
      </c>
      <c r="H76" s="25">
        <v>100</v>
      </c>
      <c r="I76" s="25">
        <v>5.7</v>
      </c>
      <c r="J76" s="25">
        <f>H76-I76</f>
        <v>94.3</v>
      </c>
      <c r="K76" s="106" t="e">
        <f>#REF!+E76+H76</f>
        <v>#REF!</v>
      </c>
      <c r="L76" s="113" t="s">
        <v>12</v>
      </c>
      <c r="M76" s="102"/>
    </row>
    <row r="77" spans="1:15" ht="67.5" customHeight="1">
      <c r="A77" s="587"/>
      <c r="B77" s="588"/>
      <c r="C77" s="37">
        <v>2355</v>
      </c>
      <c r="D77" s="25">
        <v>2745</v>
      </c>
      <c r="E77" s="25">
        <v>2355</v>
      </c>
      <c r="F77" s="25">
        <v>2000</v>
      </c>
      <c r="G77" s="25">
        <f>E77-F77</f>
        <v>355</v>
      </c>
      <c r="H77" s="25">
        <v>2355</v>
      </c>
      <c r="I77" s="25">
        <v>2000</v>
      </c>
      <c r="J77" s="25">
        <f>H77-I77</f>
        <v>355</v>
      </c>
      <c r="K77" s="106" t="e">
        <f>#REF!+E77+H77</f>
        <v>#REF!</v>
      </c>
      <c r="L77" s="113" t="s">
        <v>8</v>
      </c>
      <c r="M77" s="102"/>
    </row>
    <row r="78" spans="1:15" ht="60.75" customHeight="1">
      <c r="A78" s="579" t="s">
        <v>107</v>
      </c>
      <c r="B78" s="585" t="s">
        <v>65</v>
      </c>
      <c r="C78" s="37">
        <v>352.2</v>
      </c>
      <c r="D78" s="25">
        <v>352.2</v>
      </c>
      <c r="E78" s="25">
        <v>352.2</v>
      </c>
      <c r="F78" s="25"/>
      <c r="G78" s="25"/>
      <c r="H78" s="25">
        <v>352.2</v>
      </c>
      <c r="I78" s="25"/>
      <c r="J78" s="25"/>
      <c r="K78" s="106" t="e">
        <f>#REF!+E78+H78</f>
        <v>#REF!</v>
      </c>
      <c r="L78" s="113" t="s">
        <v>12</v>
      </c>
      <c r="M78" s="102"/>
    </row>
    <row r="79" spans="1:15" ht="60.75" customHeight="1">
      <c r="A79" s="580"/>
      <c r="B79" s="603"/>
      <c r="C79" s="37">
        <v>1761</v>
      </c>
      <c r="D79" s="25">
        <v>1761</v>
      </c>
      <c r="E79" s="25">
        <v>1761</v>
      </c>
      <c r="F79" s="25">
        <v>1056.5999999999999</v>
      </c>
      <c r="G79" s="25">
        <f>E79-F79</f>
        <v>704.40000000000009</v>
      </c>
      <c r="H79" s="25">
        <v>1761</v>
      </c>
      <c r="I79" s="25">
        <v>1056.5999999999999</v>
      </c>
      <c r="J79" s="25">
        <f>H79-I79</f>
        <v>704.40000000000009</v>
      </c>
      <c r="K79" s="106" t="e">
        <f>#REF!+E79+H79</f>
        <v>#REF!</v>
      </c>
      <c r="L79" s="113" t="s">
        <v>8</v>
      </c>
      <c r="M79" s="102"/>
    </row>
    <row r="80" spans="1:15" ht="68.25" customHeight="1">
      <c r="A80" s="579" t="s">
        <v>108</v>
      </c>
      <c r="B80" s="585" t="s">
        <v>47</v>
      </c>
      <c r="C80" s="37">
        <v>117.4</v>
      </c>
      <c r="D80" s="25">
        <v>117.4</v>
      </c>
      <c r="E80" s="25">
        <v>117.4</v>
      </c>
      <c r="F80" s="25"/>
      <c r="G80" s="25"/>
      <c r="H80" s="25">
        <v>117.4</v>
      </c>
      <c r="I80" s="25"/>
      <c r="J80" s="25"/>
      <c r="K80" s="106" t="e">
        <f>#REF!+E80+H80</f>
        <v>#REF!</v>
      </c>
      <c r="L80" s="113" t="s">
        <v>12</v>
      </c>
      <c r="M80" s="102"/>
    </row>
    <row r="81" spans="1:13" ht="68.25" customHeight="1">
      <c r="A81" s="584"/>
      <c r="B81" s="586"/>
      <c r="C81" s="37">
        <v>528.29999999999995</v>
      </c>
      <c r="D81" s="25">
        <v>528.29999999999995</v>
      </c>
      <c r="E81" s="25">
        <v>528.29999999999995</v>
      </c>
      <c r="F81" s="25">
        <v>352.2</v>
      </c>
      <c r="G81" s="25">
        <f t="shared" ref="G81:G87" si="22">E81-F81</f>
        <v>176.09999999999997</v>
      </c>
      <c r="H81" s="25">
        <v>528.29999999999995</v>
      </c>
      <c r="I81" s="25">
        <v>352.2</v>
      </c>
      <c r="J81" s="25">
        <f t="shared" ref="J81:J87" si="23">H81-I81</f>
        <v>176.09999999999997</v>
      </c>
      <c r="K81" s="106" t="e">
        <f>#REF!+E81+H81</f>
        <v>#REF!</v>
      </c>
      <c r="L81" s="113" t="s">
        <v>8</v>
      </c>
      <c r="M81" s="102"/>
    </row>
    <row r="82" spans="1:13" ht="55.5" customHeight="1">
      <c r="A82" s="583" t="s">
        <v>109</v>
      </c>
      <c r="B82" s="581" t="s">
        <v>76</v>
      </c>
      <c r="C82" s="37">
        <v>293.5</v>
      </c>
      <c r="D82" s="25">
        <v>293.5</v>
      </c>
      <c r="E82" s="25">
        <v>293.5</v>
      </c>
      <c r="F82" s="25">
        <v>85.9</v>
      </c>
      <c r="G82" s="25">
        <f t="shared" si="22"/>
        <v>207.6</v>
      </c>
      <c r="H82" s="25">
        <v>293.5</v>
      </c>
      <c r="I82" s="25">
        <v>85.9</v>
      </c>
      <c r="J82" s="25">
        <f t="shared" si="23"/>
        <v>207.6</v>
      </c>
      <c r="K82" s="106" t="e">
        <f>#REF!+E82+H82</f>
        <v>#REF!</v>
      </c>
      <c r="L82" s="113" t="s">
        <v>12</v>
      </c>
      <c r="M82" s="102"/>
    </row>
    <row r="83" spans="1:13" ht="63" customHeight="1">
      <c r="A83" s="599"/>
      <c r="B83" s="586"/>
      <c r="C83" s="37">
        <v>880.5</v>
      </c>
      <c r="D83" s="25">
        <v>880.5</v>
      </c>
      <c r="E83" s="25">
        <v>880.5</v>
      </c>
      <c r="F83" s="25">
        <v>880.4</v>
      </c>
      <c r="G83" s="25">
        <f t="shared" si="22"/>
        <v>0.10000000000002274</v>
      </c>
      <c r="H83" s="25">
        <v>880.5</v>
      </c>
      <c r="I83" s="25">
        <v>880.4</v>
      </c>
      <c r="J83" s="25">
        <f t="shared" si="23"/>
        <v>0.10000000000002274</v>
      </c>
      <c r="K83" s="106" t="e">
        <f>#REF!+E83+H83</f>
        <v>#REF!</v>
      </c>
      <c r="L83" s="113" t="s">
        <v>8</v>
      </c>
      <c r="M83" s="102"/>
    </row>
    <row r="84" spans="1:13" ht="67.5" customHeight="1">
      <c r="A84" s="583" t="s">
        <v>110</v>
      </c>
      <c r="B84" s="581" t="s">
        <v>75</v>
      </c>
      <c r="C84" s="37">
        <v>234.8</v>
      </c>
      <c r="D84" s="25">
        <v>234.8</v>
      </c>
      <c r="E84" s="25">
        <v>234.8</v>
      </c>
      <c r="F84" s="25">
        <v>68.7</v>
      </c>
      <c r="G84" s="25">
        <f t="shared" si="22"/>
        <v>166.10000000000002</v>
      </c>
      <c r="H84" s="25">
        <v>234.8</v>
      </c>
      <c r="I84" s="25">
        <v>68.7</v>
      </c>
      <c r="J84" s="25">
        <f t="shared" si="23"/>
        <v>166.10000000000002</v>
      </c>
      <c r="K84" s="106" t="e">
        <f>#REF!+E84+H84</f>
        <v>#REF!</v>
      </c>
      <c r="L84" s="113" t="s">
        <v>12</v>
      </c>
      <c r="M84" s="102"/>
    </row>
    <row r="85" spans="1:13" ht="67.5" customHeight="1">
      <c r="A85" s="584"/>
      <c r="B85" s="589"/>
      <c r="C85" s="37">
        <v>1584.9</v>
      </c>
      <c r="D85" s="25">
        <v>1584.9</v>
      </c>
      <c r="E85" s="25">
        <v>1584.9</v>
      </c>
      <c r="F85" s="25">
        <v>704.5</v>
      </c>
      <c r="G85" s="25">
        <f t="shared" si="22"/>
        <v>880.40000000000009</v>
      </c>
      <c r="H85" s="25">
        <v>1584.9</v>
      </c>
      <c r="I85" s="25">
        <v>704.5</v>
      </c>
      <c r="J85" s="25">
        <f t="shared" si="23"/>
        <v>880.40000000000009</v>
      </c>
      <c r="K85" s="106" t="e">
        <f>#REF!+E85+H85</f>
        <v>#REF!</v>
      </c>
      <c r="L85" s="113" t="s">
        <v>8</v>
      </c>
      <c r="M85" s="102"/>
    </row>
    <row r="86" spans="1:13" ht="38.25" customHeight="1">
      <c r="A86" s="583" t="s">
        <v>111</v>
      </c>
      <c r="B86" s="581" t="s">
        <v>64</v>
      </c>
      <c r="C86" s="37">
        <v>10</v>
      </c>
      <c r="D86" s="25">
        <v>10</v>
      </c>
      <c r="E86" s="25">
        <v>10</v>
      </c>
      <c r="F86" s="25">
        <v>0</v>
      </c>
      <c r="G86" s="25">
        <f t="shared" si="22"/>
        <v>10</v>
      </c>
      <c r="H86" s="25">
        <v>10</v>
      </c>
      <c r="I86" s="25">
        <v>0</v>
      </c>
      <c r="J86" s="25">
        <f t="shared" si="23"/>
        <v>10</v>
      </c>
      <c r="K86" s="106" t="e">
        <f>#REF!+E86+H86</f>
        <v>#REF!</v>
      </c>
      <c r="L86" s="113" t="s">
        <v>12</v>
      </c>
      <c r="M86" s="102"/>
    </row>
    <row r="87" spans="1:13" ht="38.25" customHeight="1">
      <c r="A87" s="551"/>
      <c r="B87" s="582"/>
      <c r="C87" s="37">
        <v>322.60000000000002</v>
      </c>
      <c r="D87" s="25">
        <v>322.60000000000002</v>
      </c>
      <c r="E87" s="25">
        <v>322.60000000000002</v>
      </c>
      <c r="F87" s="25">
        <v>0</v>
      </c>
      <c r="G87" s="25">
        <f t="shared" si="22"/>
        <v>322.60000000000002</v>
      </c>
      <c r="H87" s="25">
        <v>322.60000000000002</v>
      </c>
      <c r="I87" s="25">
        <v>0</v>
      </c>
      <c r="J87" s="25">
        <f t="shared" si="23"/>
        <v>322.60000000000002</v>
      </c>
      <c r="K87" s="106" t="e">
        <f>#REF!+E87+H87</f>
        <v>#REF!</v>
      </c>
      <c r="L87" s="113" t="s">
        <v>62</v>
      </c>
      <c r="M87" s="102"/>
    </row>
    <row r="88" spans="1:13" ht="83.25" customHeight="1">
      <c r="A88" s="583" t="s">
        <v>112</v>
      </c>
      <c r="B88" s="581" t="s">
        <v>66</v>
      </c>
      <c r="C88" s="37">
        <v>23</v>
      </c>
      <c r="D88" s="25">
        <v>23000</v>
      </c>
      <c r="E88" s="25">
        <v>70</v>
      </c>
      <c r="F88" s="25">
        <v>0</v>
      </c>
      <c r="G88" s="25">
        <f t="shared" ref="G88" si="24">E88-F88</f>
        <v>70</v>
      </c>
      <c r="H88" s="25">
        <v>70</v>
      </c>
      <c r="I88" s="25">
        <v>0</v>
      </c>
      <c r="J88" s="25">
        <f t="shared" ref="J88" si="25">H88-I88</f>
        <v>70</v>
      </c>
      <c r="K88" s="106" t="e">
        <f>#REF!+E88+H88</f>
        <v>#REF!</v>
      </c>
      <c r="L88" s="113" t="s">
        <v>12</v>
      </c>
      <c r="M88" s="102"/>
    </row>
    <row r="89" spans="1:13" ht="83.25" customHeight="1">
      <c r="A89" s="551"/>
      <c r="B89" s="582"/>
      <c r="C89" s="37">
        <v>70</v>
      </c>
      <c r="D89" s="25">
        <v>70000</v>
      </c>
      <c r="E89" s="25">
        <v>70</v>
      </c>
      <c r="F89" s="25">
        <v>0</v>
      </c>
      <c r="G89" s="25">
        <f t="shared" ref="G89" si="26">E89-F89</f>
        <v>70</v>
      </c>
      <c r="H89" s="25">
        <v>70</v>
      </c>
      <c r="I89" s="25">
        <v>0</v>
      </c>
      <c r="J89" s="25">
        <f t="shared" ref="J89" si="27">H89-I89</f>
        <v>70</v>
      </c>
      <c r="K89" s="106" t="e">
        <f>#REF!+E89+H89</f>
        <v>#REF!</v>
      </c>
      <c r="L89" s="102" t="s">
        <v>62</v>
      </c>
      <c r="M89" s="102"/>
    </row>
    <row r="90" spans="1:13" s="199" customFormat="1" ht="30.75">
      <c r="A90" s="193"/>
      <c r="B90" s="156" t="s">
        <v>20</v>
      </c>
      <c r="C90" s="137">
        <f>C70</f>
        <v>392936.81</v>
      </c>
      <c r="D90" s="137">
        <f>D70</f>
        <v>273051.94799999997</v>
      </c>
      <c r="E90" s="136">
        <f>E70</f>
        <v>216547.20000000001</v>
      </c>
      <c r="F90" s="136">
        <v>197450.2</v>
      </c>
      <c r="G90" s="136">
        <f>E90-F90</f>
        <v>19097</v>
      </c>
      <c r="H90" s="136">
        <f>H70</f>
        <v>216547.20000000001</v>
      </c>
      <c r="I90" s="138">
        <v>197450.2</v>
      </c>
      <c r="J90" s="138">
        <f>H90-I90</f>
        <v>19097</v>
      </c>
      <c r="K90" s="139" t="e">
        <f>#REF!+E90+H90</f>
        <v>#REF!</v>
      </c>
      <c r="L90" s="122"/>
      <c r="M90" s="122"/>
    </row>
    <row r="91" spans="1:13" s="199" customFormat="1" ht="30.75">
      <c r="A91" s="193"/>
      <c r="B91" s="156" t="s">
        <v>22</v>
      </c>
      <c r="C91" s="137">
        <f>C90</f>
        <v>392936.81</v>
      </c>
      <c r="D91" s="24" t="e">
        <f>#REF!-#REF!</f>
        <v>#REF!</v>
      </c>
      <c r="E91" s="136">
        <f t="shared" ref="E91:K91" si="28">E90</f>
        <v>216547.20000000001</v>
      </c>
      <c r="F91" s="136">
        <v>197450.2</v>
      </c>
      <c r="G91" s="136">
        <f>E91-F91</f>
        <v>19097</v>
      </c>
      <c r="H91" s="136">
        <f t="shared" si="28"/>
        <v>216547.20000000001</v>
      </c>
      <c r="I91" s="136">
        <v>197450.2</v>
      </c>
      <c r="J91" s="138">
        <f>H91-I91</f>
        <v>19097</v>
      </c>
      <c r="K91" s="136" t="e">
        <f t="shared" si="28"/>
        <v>#REF!</v>
      </c>
      <c r="L91" s="122"/>
      <c r="M91" s="122"/>
    </row>
    <row r="92" spans="1:13" s="201" customFormat="1" ht="41.25" customHeight="1">
      <c r="A92" s="200"/>
      <c r="B92" s="157" t="s">
        <v>24</v>
      </c>
      <c r="C92" s="141">
        <f>C91+C64</f>
        <v>561333.40999999992</v>
      </c>
      <c r="D92" s="140" t="e">
        <f>#REF!-#REF!</f>
        <v>#REF!</v>
      </c>
      <c r="E92" s="140" t="e">
        <f t="shared" ref="E92:K92" si="29">E91+E64</f>
        <v>#REF!</v>
      </c>
      <c r="F92" s="140">
        <f t="shared" si="29"/>
        <v>234190.30000000002</v>
      </c>
      <c r="G92" s="140" t="e">
        <f t="shared" si="29"/>
        <v>#REF!</v>
      </c>
      <c r="H92" s="140" t="e">
        <f t="shared" si="29"/>
        <v>#REF!</v>
      </c>
      <c r="I92" s="140">
        <f t="shared" si="29"/>
        <v>234190.30000000002</v>
      </c>
      <c r="J92" s="140" t="e">
        <f t="shared" si="29"/>
        <v>#REF!</v>
      </c>
      <c r="K92" s="140" t="e">
        <f t="shared" si="29"/>
        <v>#REF!</v>
      </c>
      <c r="L92" s="142"/>
      <c r="M92" s="142"/>
    </row>
    <row r="93" spans="1:13" s="199" customFormat="1" ht="30.75">
      <c r="A93" s="193"/>
      <c r="B93" s="156" t="s">
        <v>20</v>
      </c>
      <c r="C93" s="144">
        <f>C90+C61</f>
        <v>511080.70999999996</v>
      </c>
      <c r="D93" s="140" t="e">
        <f>#REF!-#REF!</f>
        <v>#REF!</v>
      </c>
      <c r="E93" s="143">
        <f>E90+E61</f>
        <v>245046.90000000002</v>
      </c>
      <c r="F93" s="143">
        <v>222827</v>
      </c>
      <c r="G93" s="140">
        <f t="shared" ref="G93:G95" si="30">E93-F93</f>
        <v>22219.900000000023</v>
      </c>
      <c r="H93" s="143">
        <f>H90+H61</f>
        <v>244484.90000000002</v>
      </c>
      <c r="I93" s="145">
        <v>222827</v>
      </c>
      <c r="J93" s="146">
        <f t="shared" ref="J93:J95" si="31">H93-I93</f>
        <v>21657.900000000023</v>
      </c>
      <c r="K93" s="139" t="e">
        <f>#REF!+E93+H93</f>
        <v>#REF!</v>
      </c>
      <c r="L93" s="122"/>
      <c r="M93" s="122"/>
    </row>
    <row r="94" spans="1:13" s="199" customFormat="1" ht="30.75">
      <c r="A94" s="193"/>
      <c r="B94" s="156" t="s">
        <v>21</v>
      </c>
      <c r="C94" s="144">
        <f>C62</f>
        <v>43560.299999999996</v>
      </c>
      <c r="D94" s="140" t="e">
        <f>#REF!-#REF!</f>
        <v>#REF!</v>
      </c>
      <c r="E94" s="143" t="e">
        <f t="shared" ref="E94:K94" si="32">E62</f>
        <v>#REF!</v>
      </c>
      <c r="F94" s="143">
        <v>8310.2000000000007</v>
      </c>
      <c r="G94" s="140" t="e">
        <f t="shared" si="30"/>
        <v>#REF!</v>
      </c>
      <c r="H94" s="143" t="e">
        <f t="shared" si="32"/>
        <v>#REF!</v>
      </c>
      <c r="I94" s="143">
        <v>8310.2000000000007</v>
      </c>
      <c r="J94" s="146" t="e">
        <f t="shared" si="31"/>
        <v>#REF!</v>
      </c>
      <c r="K94" s="143" t="e">
        <f t="shared" si="32"/>
        <v>#REF!</v>
      </c>
      <c r="L94" s="122"/>
      <c r="M94" s="122"/>
    </row>
    <row r="95" spans="1:13" s="199" customFormat="1" ht="30.75">
      <c r="A95" s="193"/>
      <c r="B95" s="156" t="s">
        <v>25</v>
      </c>
      <c r="C95" s="144">
        <f>C63</f>
        <v>6692.4</v>
      </c>
      <c r="D95" s="140" t="e">
        <f>#REF!-#REF!</f>
        <v>#REF!</v>
      </c>
      <c r="E95" s="143">
        <f>E63</f>
        <v>0</v>
      </c>
      <c r="F95" s="143">
        <v>3053.1</v>
      </c>
      <c r="G95" s="140">
        <f t="shared" si="30"/>
        <v>-3053.1</v>
      </c>
      <c r="H95" s="143">
        <f>H63</f>
        <v>0</v>
      </c>
      <c r="I95" s="145">
        <v>3053.1</v>
      </c>
      <c r="J95" s="146">
        <f t="shared" si="31"/>
        <v>-3053.1</v>
      </c>
      <c r="K95" s="139" t="e">
        <f>#REF!+E95+H95</f>
        <v>#REF!</v>
      </c>
      <c r="L95" s="122"/>
      <c r="M95" s="122"/>
    </row>
  </sheetData>
  <mergeCells count="59">
    <mergeCell ref="L6:L7"/>
    <mergeCell ref="A26:A27"/>
    <mergeCell ref="B26:B27"/>
    <mergeCell ref="A8:L8"/>
    <mergeCell ref="A9:L9"/>
    <mergeCell ref="A10:L10"/>
    <mergeCell ref="A69:L69"/>
    <mergeCell ref="K1:L1"/>
    <mergeCell ref="A4:L4"/>
    <mergeCell ref="A5:L5"/>
    <mergeCell ref="K2:M2"/>
    <mergeCell ref="H3:M3"/>
    <mergeCell ref="M6:M7"/>
    <mergeCell ref="A56:A58"/>
    <mergeCell ref="A51:A54"/>
    <mergeCell ref="A47:A50"/>
    <mergeCell ref="A43:A46"/>
    <mergeCell ref="A11:A14"/>
    <mergeCell ref="A6:A7"/>
    <mergeCell ref="B6:B7"/>
    <mergeCell ref="C6:H6"/>
    <mergeCell ref="K6:K7"/>
    <mergeCell ref="A28:A29"/>
    <mergeCell ref="B28:B29"/>
    <mergeCell ref="B11:B13"/>
    <mergeCell ref="A17:A18"/>
    <mergeCell ref="B17:B18"/>
    <mergeCell ref="B86:B87"/>
    <mergeCell ref="B43:B45"/>
    <mergeCell ref="B47:B49"/>
    <mergeCell ref="B51:B53"/>
    <mergeCell ref="A67:L67"/>
    <mergeCell ref="B57:B58"/>
    <mergeCell ref="A84:A85"/>
    <mergeCell ref="B84:B85"/>
    <mergeCell ref="A82:A83"/>
    <mergeCell ref="B82:B83"/>
    <mergeCell ref="A68:L68"/>
    <mergeCell ref="A80:A81"/>
    <mergeCell ref="B80:B81"/>
    <mergeCell ref="A76:A77"/>
    <mergeCell ref="B78:B79"/>
    <mergeCell ref="B76:B77"/>
    <mergeCell ref="A78:A79"/>
    <mergeCell ref="B88:B89"/>
    <mergeCell ref="A88:A89"/>
    <mergeCell ref="A19:A20"/>
    <mergeCell ref="B19:B20"/>
    <mergeCell ref="A21:A22"/>
    <mergeCell ref="B21:B22"/>
    <mergeCell ref="A23:A25"/>
    <mergeCell ref="B23:B25"/>
    <mergeCell ref="A39:A40"/>
    <mergeCell ref="B39:B40"/>
    <mergeCell ref="A30:A31"/>
    <mergeCell ref="B30:B31"/>
    <mergeCell ref="A32:A33"/>
    <mergeCell ref="B32:B33"/>
    <mergeCell ref="A86:A87"/>
  </mergeCells>
  <phoneticPr fontId="19" type="noConversion"/>
  <pageMargins left="0.19685039370078741" right="0.15748031496062992" top="0.39370078740157483" bottom="0.15748031496062992" header="0.11811023622047245" footer="0.15748031496062992"/>
  <pageSetup paperSize="9" scale="49" fitToHeight="0" orientation="portrait" r:id="rId1"/>
  <rowBreaks count="1" manualBreakCount="1">
    <brk id="42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S99"/>
  <sheetViews>
    <sheetView view="pageBreakPreview" topLeftCell="A2" zoomScale="60" zoomScaleNormal="60" workbookViewId="0">
      <selection activeCell="A90" sqref="A90:XFD90"/>
    </sheetView>
  </sheetViews>
  <sheetFormatPr defaultColWidth="9.140625" defaultRowHeight="23.25"/>
  <cols>
    <col min="1" max="1" width="11.28515625" style="23" bestFit="1" customWidth="1"/>
    <col min="2" max="2" width="67.5703125" customWidth="1"/>
    <col min="3" max="4" width="28" style="32" hidden="1" customWidth="1"/>
    <col min="5" max="5" width="22.5703125" style="8" customWidth="1"/>
    <col min="6" max="7" width="28.28515625" style="8" hidden="1" customWidth="1"/>
    <col min="8" max="10" width="28.28515625" style="8" customWidth="1"/>
    <col min="11" max="12" width="28.28515625" style="8" hidden="1" customWidth="1"/>
    <col min="13" max="13" width="23" style="9" customWidth="1"/>
    <col min="14" max="14" width="27.42578125" style="9" customWidth="1"/>
    <col min="15" max="15" width="27.42578125" style="173" customWidth="1"/>
    <col min="16" max="16" width="13.5703125" customWidth="1"/>
    <col min="17" max="17" width="9.140625" customWidth="1"/>
  </cols>
  <sheetData>
    <row r="1" spans="1:19" ht="51.75" hidden="1" customHeight="1"/>
    <row r="2" spans="1:19" ht="31.5" customHeight="1">
      <c r="C2" s="33"/>
      <c r="D2" s="33"/>
      <c r="E2" s="9"/>
      <c r="F2" s="9"/>
      <c r="G2" s="9"/>
      <c r="H2" s="9"/>
      <c r="I2" s="9"/>
      <c r="J2" s="84" t="s">
        <v>114</v>
      </c>
      <c r="K2" s="9"/>
      <c r="L2" s="9"/>
    </row>
    <row r="3" spans="1:19" ht="21" customHeight="1">
      <c r="A3" s="650" t="s">
        <v>101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</row>
    <row r="4" spans="1:19" ht="24.75">
      <c r="A4" s="644" t="s">
        <v>1</v>
      </c>
      <c r="B4" s="644" t="s">
        <v>2</v>
      </c>
      <c r="C4" s="82"/>
      <c r="D4" s="82"/>
      <c r="E4" s="621" t="s">
        <v>81</v>
      </c>
      <c r="F4" s="450"/>
      <c r="G4" s="450"/>
      <c r="H4" s="450"/>
      <c r="I4" s="450"/>
      <c r="J4" s="536" t="s">
        <v>82</v>
      </c>
      <c r="K4" s="642"/>
      <c r="L4" s="642"/>
      <c r="M4" s="642"/>
      <c r="N4" s="643"/>
      <c r="O4" s="83"/>
    </row>
    <row r="5" spans="1:19" ht="11.25" customHeight="1">
      <c r="A5" s="645"/>
      <c r="B5" s="645"/>
      <c r="C5" s="35" t="s">
        <v>71</v>
      </c>
      <c r="D5" s="53" t="s">
        <v>72</v>
      </c>
      <c r="E5" s="450"/>
      <c r="F5" s="450"/>
      <c r="G5" s="450"/>
      <c r="H5" s="450"/>
      <c r="I5" s="450"/>
      <c r="J5" s="642"/>
      <c r="K5" s="642"/>
      <c r="L5" s="642"/>
      <c r="M5" s="642"/>
      <c r="N5" s="643"/>
      <c r="O5" s="83"/>
    </row>
    <row r="6" spans="1:19" ht="60" customHeight="1" thickBot="1">
      <c r="A6" s="475"/>
      <c r="B6" s="475"/>
      <c r="C6" s="35"/>
      <c r="D6" s="53"/>
      <c r="E6" s="54" t="s">
        <v>85</v>
      </c>
      <c r="F6" s="55" t="s">
        <v>102</v>
      </c>
      <c r="G6" s="55" t="s">
        <v>72</v>
      </c>
      <c r="H6" s="85" t="s">
        <v>102</v>
      </c>
      <c r="I6" s="56" t="s">
        <v>72</v>
      </c>
      <c r="J6" s="93" t="s">
        <v>115</v>
      </c>
      <c r="K6" s="94" t="s">
        <v>116</v>
      </c>
      <c r="L6" s="94" t="s">
        <v>72</v>
      </c>
      <c r="M6" s="85" t="s">
        <v>116</v>
      </c>
      <c r="N6" s="175" t="s">
        <v>72</v>
      </c>
      <c r="O6" s="31"/>
    </row>
    <row r="7" spans="1:19" s="7" customFormat="1" ht="30" customHeight="1">
      <c r="A7" s="646" t="s">
        <v>6</v>
      </c>
      <c r="B7" s="647"/>
      <c r="C7" s="647"/>
      <c r="D7" s="647"/>
      <c r="E7" s="648"/>
      <c r="F7" s="648"/>
      <c r="G7" s="648"/>
      <c r="H7" s="648"/>
      <c r="I7" s="648"/>
      <c r="J7" s="648"/>
      <c r="K7" s="648"/>
      <c r="L7" s="648"/>
      <c r="M7" s="649"/>
      <c r="N7" s="649"/>
      <c r="O7" s="83"/>
    </row>
    <row r="8" spans="1:19" s="4" customFormat="1" ht="75" customHeight="1">
      <c r="A8" s="641" t="s">
        <v>52</v>
      </c>
      <c r="B8" s="641"/>
      <c r="C8" s="641"/>
      <c r="D8" s="641"/>
      <c r="E8" s="641"/>
      <c r="F8" s="641"/>
      <c r="G8" s="641"/>
      <c r="H8" s="641"/>
      <c r="I8" s="641"/>
      <c r="J8" s="641"/>
      <c r="K8" s="641"/>
      <c r="L8" s="641"/>
      <c r="M8" s="86"/>
      <c r="N8" s="86"/>
      <c r="O8" s="180"/>
    </row>
    <row r="9" spans="1:19" s="4" customFormat="1" ht="101.25" customHeight="1" thickBot="1">
      <c r="A9" s="651" t="s">
        <v>84</v>
      </c>
      <c r="B9" s="651"/>
      <c r="C9" s="651"/>
      <c r="D9" s="651"/>
      <c r="E9" s="652"/>
      <c r="F9" s="652"/>
      <c r="G9" s="652"/>
      <c r="H9" s="652"/>
      <c r="I9" s="652"/>
      <c r="J9" s="652"/>
      <c r="K9" s="652"/>
      <c r="L9" s="652"/>
      <c r="M9" s="86"/>
      <c r="N9" s="86"/>
      <c r="O9" s="180"/>
    </row>
    <row r="10" spans="1:19" ht="126.75" customHeight="1">
      <c r="A10" s="640">
        <v>1</v>
      </c>
      <c r="B10" s="641" t="s">
        <v>31</v>
      </c>
      <c r="C10" s="25">
        <v>17874.599999999999</v>
      </c>
      <c r="D10" s="57" t="e">
        <f>#REF!-C10</f>
        <v>#REF!</v>
      </c>
      <c r="E10" s="63">
        <f>E18+E20+E22+E25+E27+E29+E31+E33+E34+E35+E40+E38</f>
        <v>21088.1</v>
      </c>
      <c r="F10" s="63">
        <f t="shared" ref="F10:G10" si="0">F18+F20+F22+F25+F27+F29+F31+F33+F34+F35+F40+F38</f>
        <v>18055.099999999999</v>
      </c>
      <c r="G10" s="63">
        <f t="shared" si="0"/>
        <v>2563.3999999999996</v>
      </c>
      <c r="H10" s="63">
        <f>H18+H20+H22+H25+H27+H29+H31+H33+H34+H35+H40+H38</f>
        <v>19980.199999999997</v>
      </c>
      <c r="I10" s="64">
        <f t="shared" ref="I10" si="1">I18+I20+I22+I25+I27+I29+I31+I33+I34+I35+I40+I38</f>
        <v>-1107.9000000000001</v>
      </c>
      <c r="J10" s="63">
        <f>J18+J20+J22+J25+J27+J29+J31+J33+J34+J35+J40+J38</f>
        <v>21088.1</v>
      </c>
      <c r="K10" s="95">
        <v>19751.2</v>
      </c>
      <c r="L10" s="95">
        <f>J10-K10</f>
        <v>1336.8999999999978</v>
      </c>
      <c r="M10" s="96">
        <f>M18+M20+M22+M25+M27+M29+M31+M33+M34+M35+M40+M38</f>
        <v>19980.199999999997</v>
      </c>
      <c r="N10" s="176">
        <f>M10-J10</f>
        <v>-1107.9000000000015</v>
      </c>
      <c r="O10" s="174"/>
    </row>
    <row r="11" spans="1:19" ht="32.25" customHeight="1">
      <c r="A11" s="640"/>
      <c r="B11" s="641"/>
      <c r="C11" s="25">
        <v>43085.2</v>
      </c>
      <c r="D11" s="57" t="e">
        <f>#REF!-C11</f>
        <v>#REF!</v>
      </c>
      <c r="E11" s="65">
        <f>E19+E23+E26+E28+E30+E32+E39+E21+E37</f>
        <v>10086.799999999999</v>
      </c>
      <c r="F11" s="65">
        <f t="shared" ref="F11:H11" si="2">F19+F23+F26+F28+F30+F32+F39+F21+F37</f>
        <v>7498.5999999999995</v>
      </c>
      <c r="G11" s="65">
        <f t="shared" si="2"/>
        <v>2588.1999999999998</v>
      </c>
      <c r="H11" s="65">
        <f t="shared" si="2"/>
        <v>2584.5</v>
      </c>
      <c r="I11" s="66">
        <f t="shared" ref="I11" si="3">I19+I23+I26+I28+I30+I32+I39+I21+I37</f>
        <v>-7502.3</v>
      </c>
      <c r="J11" s="65">
        <f>J19+J23+J26+J28+J30+J32+J39+J21+J37</f>
        <v>10086.799999999999</v>
      </c>
      <c r="K11" s="25">
        <v>7498.6</v>
      </c>
      <c r="L11" s="25">
        <f t="shared" ref="L11:L12" si="4">J11-K11</f>
        <v>2588.1999999999989</v>
      </c>
      <c r="M11" s="87">
        <v>2584.5</v>
      </c>
      <c r="N11" s="177">
        <f t="shared" ref="N11:N74" si="5">M11-J11</f>
        <v>-7502.2999999999993</v>
      </c>
      <c r="O11" s="174"/>
      <c r="P11" s="2"/>
    </row>
    <row r="12" spans="1:19" ht="32.25" customHeight="1">
      <c r="A12" s="640"/>
      <c r="B12" s="641"/>
      <c r="C12" s="25">
        <v>0</v>
      </c>
      <c r="D12" s="57" t="e">
        <f>#REF!-C12</f>
        <v>#REF!</v>
      </c>
      <c r="E12" s="65">
        <v>0</v>
      </c>
      <c r="F12" s="25">
        <v>1</v>
      </c>
      <c r="G12" s="25">
        <v>2</v>
      </c>
      <c r="H12" s="25">
        <v>0</v>
      </c>
      <c r="I12" s="66">
        <v>0</v>
      </c>
      <c r="J12" s="65">
        <v>0</v>
      </c>
      <c r="K12" s="25">
        <v>0</v>
      </c>
      <c r="L12" s="25">
        <f t="shared" si="4"/>
        <v>0</v>
      </c>
      <c r="M12" s="87">
        <f t="shared" ref="M12:M60" si="6">H12</f>
        <v>0</v>
      </c>
      <c r="N12" s="177">
        <f t="shared" si="5"/>
        <v>0</v>
      </c>
      <c r="O12" s="174"/>
    </row>
    <row r="13" spans="1:19" ht="105.75" customHeight="1">
      <c r="A13" s="11"/>
      <c r="B13" s="17" t="s">
        <v>37</v>
      </c>
      <c r="C13" s="25">
        <f>C10+C11</f>
        <v>60959.799999999996</v>
      </c>
      <c r="D13" s="57" t="e">
        <f>#REF!-C13</f>
        <v>#REF!</v>
      </c>
      <c r="E13" s="65">
        <f>E10+E11+E12</f>
        <v>31174.899999999998</v>
      </c>
      <c r="F13" s="65">
        <f t="shared" ref="F13:H13" si="7">F10+F11+F12</f>
        <v>25554.699999999997</v>
      </c>
      <c r="G13" s="65">
        <f t="shared" si="7"/>
        <v>5153.5999999999995</v>
      </c>
      <c r="H13" s="65">
        <f t="shared" si="7"/>
        <v>22564.699999999997</v>
      </c>
      <c r="I13" s="66">
        <f t="shared" ref="I13" si="8">I10+I11+I12</f>
        <v>-8610.2000000000007</v>
      </c>
      <c r="J13" s="65">
        <f>J10+J11+J12</f>
        <v>31174.899999999998</v>
      </c>
      <c r="K13" s="61">
        <f t="shared" ref="K13:L13" si="9">K10+K11+K12</f>
        <v>27249.800000000003</v>
      </c>
      <c r="L13" s="61">
        <f t="shared" si="9"/>
        <v>3925.0999999999967</v>
      </c>
      <c r="M13" s="61">
        <f>M10+M11+M12</f>
        <v>22564.699999999997</v>
      </c>
      <c r="N13" s="177">
        <f t="shared" si="5"/>
        <v>-8610.2000000000007</v>
      </c>
      <c r="O13" s="174"/>
    </row>
    <row r="14" spans="1:19" ht="24" customHeight="1">
      <c r="A14" s="40"/>
      <c r="B14" s="17" t="s">
        <v>10</v>
      </c>
      <c r="C14" s="47"/>
      <c r="D14" s="58"/>
      <c r="E14" s="67"/>
      <c r="F14" s="47"/>
      <c r="G14" s="47"/>
      <c r="H14" s="47"/>
      <c r="I14" s="68"/>
      <c r="J14" s="67"/>
      <c r="K14" s="47"/>
      <c r="L14" s="47"/>
      <c r="M14" s="87">
        <f t="shared" si="6"/>
        <v>0</v>
      </c>
      <c r="N14" s="177">
        <f t="shared" si="5"/>
        <v>0</v>
      </c>
      <c r="O14" s="174"/>
    </row>
    <row r="15" spans="1:19" ht="24" hidden="1" customHeight="1">
      <c r="A15" s="40"/>
      <c r="B15" s="17"/>
      <c r="C15" s="25"/>
      <c r="D15" s="57"/>
      <c r="E15" s="65">
        <f>SUM(E16:E40)</f>
        <v>31174.899999999998</v>
      </c>
      <c r="F15" s="25"/>
      <c r="G15" s="25"/>
      <c r="H15" s="25"/>
      <c r="I15" s="66"/>
      <c r="J15" s="65">
        <f>SUM(J16:J40)</f>
        <v>31174.899999999998</v>
      </c>
      <c r="K15" s="25"/>
      <c r="L15" s="25"/>
      <c r="M15" s="87">
        <f t="shared" si="6"/>
        <v>0</v>
      </c>
      <c r="N15" s="177">
        <f t="shared" si="5"/>
        <v>-31174.899999999998</v>
      </c>
      <c r="O15" s="174"/>
    </row>
    <row r="16" spans="1:19" ht="78" hidden="1" customHeight="1">
      <c r="A16" s="631" t="s">
        <v>11</v>
      </c>
      <c r="B16" s="641" t="s">
        <v>28</v>
      </c>
      <c r="C16" s="25"/>
      <c r="D16" s="57"/>
      <c r="E16" s="65">
        <v>0</v>
      </c>
      <c r="F16" s="25"/>
      <c r="G16" s="25"/>
      <c r="H16" s="25"/>
      <c r="I16" s="66"/>
      <c r="J16" s="65">
        <v>0</v>
      </c>
      <c r="K16" s="25"/>
      <c r="L16" s="25"/>
      <c r="M16" s="87">
        <f t="shared" si="6"/>
        <v>0</v>
      </c>
      <c r="N16" s="177">
        <f t="shared" si="5"/>
        <v>0</v>
      </c>
      <c r="O16" s="174"/>
      <c r="S16" s="2"/>
    </row>
    <row r="17" spans="1:15" ht="210.75" hidden="1" customHeight="1">
      <c r="A17" s="631"/>
      <c r="B17" s="641"/>
      <c r="C17" s="25"/>
      <c r="D17" s="57"/>
      <c r="E17" s="65">
        <v>0</v>
      </c>
      <c r="F17" s="25"/>
      <c r="G17" s="25"/>
      <c r="H17" s="25"/>
      <c r="I17" s="66"/>
      <c r="J17" s="65">
        <v>0</v>
      </c>
      <c r="K17" s="25"/>
      <c r="L17" s="25"/>
      <c r="M17" s="87">
        <f t="shared" si="6"/>
        <v>0</v>
      </c>
      <c r="N17" s="177">
        <f t="shared" si="5"/>
        <v>0</v>
      </c>
      <c r="O17" s="174"/>
    </row>
    <row r="18" spans="1:15" ht="60.75" customHeight="1">
      <c r="A18" s="631" t="s">
        <v>11</v>
      </c>
      <c r="B18" s="641" t="s">
        <v>65</v>
      </c>
      <c r="C18" s="25">
        <v>352.2</v>
      </c>
      <c r="D18" s="57" t="e">
        <f>#REF!-C18</f>
        <v>#REF!</v>
      </c>
      <c r="E18" s="65">
        <v>352.2</v>
      </c>
      <c r="F18" s="25"/>
      <c r="G18" s="25"/>
      <c r="H18" s="25">
        <v>0</v>
      </c>
      <c r="I18" s="66">
        <f>H18-E18</f>
        <v>-352.2</v>
      </c>
      <c r="J18" s="65">
        <v>352.2</v>
      </c>
      <c r="K18" s="25"/>
      <c r="L18" s="25"/>
      <c r="M18" s="87">
        <f t="shared" si="6"/>
        <v>0</v>
      </c>
      <c r="N18" s="177">
        <f t="shared" si="5"/>
        <v>-352.2</v>
      </c>
      <c r="O18" s="174" t="s">
        <v>12</v>
      </c>
    </row>
    <row r="19" spans="1:15" ht="60.75" customHeight="1">
      <c r="A19" s="627"/>
      <c r="B19" s="662"/>
      <c r="C19" s="25">
        <v>1056.5999999999999</v>
      </c>
      <c r="D19" s="57" t="e">
        <f>#REF!-C19</f>
        <v>#REF!</v>
      </c>
      <c r="E19" s="65">
        <v>1761</v>
      </c>
      <c r="F19" s="25">
        <v>1056.5999999999999</v>
      </c>
      <c r="G19" s="25">
        <f>E19-F19</f>
        <v>704.40000000000009</v>
      </c>
      <c r="H19" s="25">
        <v>0</v>
      </c>
      <c r="I19" s="66">
        <f t="shared" ref="I19:I32" si="10">H19-E19</f>
        <v>-1761</v>
      </c>
      <c r="J19" s="65">
        <v>1761</v>
      </c>
      <c r="K19" s="25">
        <v>1056.5999999999999</v>
      </c>
      <c r="L19" s="25">
        <f>J19-K19</f>
        <v>704.40000000000009</v>
      </c>
      <c r="M19" s="87">
        <f t="shared" si="6"/>
        <v>0</v>
      </c>
      <c r="N19" s="177">
        <f t="shared" si="5"/>
        <v>-1761</v>
      </c>
      <c r="O19" s="174" t="s">
        <v>8</v>
      </c>
    </row>
    <row r="20" spans="1:15" ht="68.25" customHeight="1">
      <c r="A20" s="631" t="s">
        <v>13</v>
      </c>
      <c r="B20" s="641" t="s">
        <v>47</v>
      </c>
      <c r="C20" s="25"/>
      <c r="D20" s="57"/>
      <c r="E20" s="65">
        <v>117.4</v>
      </c>
      <c r="F20" s="25"/>
      <c r="G20" s="25"/>
      <c r="H20" s="25">
        <v>0</v>
      </c>
      <c r="I20" s="66">
        <f t="shared" si="10"/>
        <v>-117.4</v>
      </c>
      <c r="J20" s="65">
        <v>117.4</v>
      </c>
      <c r="K20" s="25"/>
      <c r="L20" s="25"/>
      <c r="M20" s="87">
        <f t="shared" si="6"/>
        <v>0</v>
      </c>
      <c r="N20" s="177">
        <f t="shared" si="5"/>
        <v>-117.4</v>
      </c>
      <c r="O20" s="174" t="s">
        <v>12</v>
      </c>
    </row>
    <row r="21" spans="1:15" ht="60" customHeight="1">
      <c r="A21" s="627"/>
      <c r="B21" s="662"/>
      <c r="C21" s="25">
        <v>352.2</v>
      </c>
      <c r="D21" s="57" t="e">
        <f>#REF!-C21</f>
        <v>#REF!</v>
      </c>
      <c r="E21" s="65">
        <v>528.29999999999995</v>
      </c>
      <c r="F21" s="25">
        <v>352.2</v>
      </c>
      <c r="G21" s="25">
        <f>E21-F21</f>
        <v>176.09999999999997</v>
      </c>
      <c r="H21" s="25">
        <v>0</v>
      </c>
      <c r="I21" s="66">
        <f t="shared" si="10"/>
        <v>-528.29999999999995</v>
      </c>
      <c r="J21" s="65">
        <v>528.29999999999995</v>
      </c>
      <c r="K21" s="25">
        <v>352.2</v>
      </c>
      <c r="L21" s="25">
        <f>J21-K21</f>
        <v>176.09999999999997</v>
      </c>
      <c r="M21" s="87">
        <f t="shared" si="6"/>
        <v>0</v>
      </c>
      <c r="N21" s="177">
        <f t="shared" si="5"/>
        <v>-528.29999999999995</v>
      </c>
      <c r="O21" s="174" t="s">
        <v>8</v>
      </c>
    </row>
    <row r="22" spans="1:15" ht="24" customHeight="1">
      <c r="A22" s="631" t="s">
        <v>14</v>
      </c>
      <c r="B22" s="641" t="s">
        <v>83</v>
      </c>
      <c r="C22" s="25">
        <v>5.7</v>
      </c>
      <c r="D22" s="57" t="e">
        <f>#REF!-C22</f>
        <v>#REF!</v>
      </c>
      <c r="E22" s="65">
        <v>100</v>
      </c>
      <c r="F22" s="25">
        <v>5.7</v>
      </c>
      <c r="G22" s="25">
        <f>E22-F22</f>
        <v>94.3</v>
      </c>
      <c r="H22" s="25">
        <v>0</v>
      </c>
      <c r="I22" s="66">
        <f t="shared" si="10"/>
        <v>-100</v>
      </c>
      <c r="J22" s="65">
        <v>100</v>
      </c>
      <c r="K22" s="25">
        <v>5.7</v>
      </c>
      <c r="L22" s="25">
        <f>J22-K22</f>
        <v>94.3</v>
      </c>
      <c r="M22" s="87">
        <f t="shared" si="6"/>
        <v>0</v>
      </c>
      <c r="N22" s="177">
        <f t="shared" si="5"/>
        <v>-100</v>
      </c>
      <c r="O22" s="174" t="s">
        <v>12</v>
      </c>
    </row>
    <row r="23" spans="1:15" ht="24" customHeight="1">
      <c r="A23" s="631"/>
      <c r="B23" s="641"/>
      <c r="C23" s="25">
        <v>2000</v>
      </c>
      <c r="D23" s="57" t="e">
        <f>#REF!-C23</f>
        <v>#REF!</v>
      </c>
      <c r="E23" s="65">
        <v>2355</v>
      </c>
      <c r="F23" s="25">
        <v>2000</v>
      </c>
      <c r="G23" s="25">
        <f>E23-F23</f>
        <v>355</v>
      </c>
      <c r="H23" s="25">
        <v>0</v>
      </c>
      <c r="I23" s="66">
        <f t="shared" si="10"/>
        <v>-2355</v>
      </c>
      <c r="J23" s="65">
        <v>2355</v>
      </c>
      <c r="K23" s="25">
        <v>2000</v>
      </c>
      <c r="L23" s="25">
        <f>J23-K23</f>
        <v>355</v>
      </c>
      <c r="M23" s="87">
        <f t="shared" si="6"/>
        <v>0</v>
      </c>
      <c r="N23" s="177">
        <f t="shared" si="5"/>
        <v>-2355</v>
      </c>
      <c r="O23" s="174" t="s">
        <v>8</v>
      </c>
    </row>
    <row r="24" spans="1:15" ht="26.25">
      <c r="A24" s="627"/>
      <c r="B24" s="662"/>
      <c r="C24" s="25"/>
      <c r="D24" s="57"/>
      <c r="E24" s="65">
        <v>0</v>
      </c>
      <c r="F24" s="25"/>
      <c r="G24" s="25"/>
      <c r="H24" s="25">
        <v>0</v>
      </c>
      <c r="I24" s="66">
        <f t="shared" si="10"/>
        <v>0</v>
      </c>
      <c r="J24" s="65">
        <v>0</v>
      </c>
      <c r="K24" s="25"/>
      <c r="L24" s="25"/>
      <c r="M24" s="87">
        <f t="shared" si="6"/>
        <v>0</v>
      </c>
      <c r="N24" s="177">
        <f t="shared" si="5"/>
        <v>0</v>
      </c>
      <c r="O24" s="174"/>
    </row>
    <row r="25" spans="1:15" ht="66.75" customHeight="1">
      <c r="A25" s="627" t="s">
        <v>15</v>
      </c>
      <c r="B25" s="634" t="s">
        <v>78</v>
      </c>
      <c r="C25" s="25">
        <v>7.7</v>
      </c>
      <c r="D25" s="57" t="e">
        <f>#REF!-C25</f>
        <v>#REF!</v>
      </c>
      <c r="E25" s="65">
        <v>100</v>
      </c>
      <c r="F25" s="25">
        <v>7.7</v>
      </c>
      <c r="G25" s="25">
        <f>E25-F25</f>
        <v>92.3</v>
      </c>
      <c r="H25" s="25">
        <v>100</v>
      </c>
      <c r="I25" s="66">
        <f t="shared" si="10"/>
        <v>0</v>
      </c>
      <c r="J25" s="65">
        <v>100</v>
      </c>
      <c r="K25" s="25">
        <v>7.7</v>
      </c>
      <c r="L25" s="25">
        <f>J25-K25</f>
        <v>92.3</v>
      </c>
      <c r="M25" s="87">
        <f t="shared" si="6"/>
        <v>100</v>
      </c>
      <c r="N25" s="177">
        <f t="shared" si="5"/>
        <v>0</v>
      </c>
      <c r="O25" s="174" t="s">
        <v>12</v>
      </c>
    </row>
    <row r="26" spans="1:15" ht="54.75" customHeight="1">
      <c r="A26" s="628"/>
      <c r="B26" s="634"/>
      <c r="C26" s="25">
        <v>2504.9</v>
      </c>
      <c r="D26" s="57" t="e">
        <f>#REF!-C26</f>
        <v>#REF!</v>
      </c>
      <c r="E26" s="65">
        <v>2584.5</v>
      </c>
      <c r="F26" s="25">
        <v>2504.9</v>
      </c>
      <c r="G26" s="25">
        <f>E26-F26</f>
        <v>79.599999999999909</v>
      </c>
      <c r="H26" s="25">
        <v>2584.5</v>
      </c>
      <c r="I26" s="66">
        <f t="shared" si="10"/>
        <v>0</v>
      </c>
      <c r="J26" s="65">
        <v>2584.5</v>
      </c>
      <c r="K26" s="25">
        <v>2504.9</v>
      </c>
      <c r="L26" s="25">
        <f>J26-K26</f>
        <v>79.599999999999909</v>
      </c>
      <c r="M26" s="87">
        <f t="shared" si="6"/>
        <v>2584.5</v>
      </c>
      <c r="N26" s="177">
        <f t="shared" si="5"/>
        <v>0</v>
      </c>
      <c r="O26" s="174" t="s">
        <v>8</v>
      </c>
    </row>
    <row r="27" spans="1:15" ht="69" customHeight="1">
      <c r="A27" s="627" t="s">
        <v>16</v>
      </c>
      <c r="B27" s="663" t="s">
        <v>39</v>
      </c>
      <c r="C27" s="25">
        <v>1143.7</v>
      </c>
      <c r="D27" s="57" t="e">
        <f>#REF!-C27</f>
        <v>#REF!</v>
      </c>
      <c r="E27" s="65">
        <v>0</v>
      </c>
      <c r="F27" s="25">
        <v>3020.3</v>
      </c>
      <c r="G27" s="25">
        <f>E27-F27</f>
        <v>-3020.3</v>
      </c>
      <c r="H27" s="25">
        <v>0</v>
      </c>
      <c r="I27" s="66">
        <f t="shared" si="10"/>
        <v>0</v>
      </c>
      <c r="J27" s="65">
        <v>0</v>
      </c>
      <c r="K27" s="25">
        <v>3020.3</v>
      </c>
      <c r="L27" s="25">
        <f>J27-K27</f>
        <v>-3020.3</v>
      </c>
      <c r="M27" s="87">
        <f t="shared" si="6"/>
        <v>0</v>
      </c>
      <c r="N27" s="177">
        <f t="shared" si="5"/>
        <v>0</v>
      </c>
      <c r="O27" s="174" t="s">
        <v>12</v>
      </c>
    </row>
    <row r="28" spans="1:15" ht="54" customHeight="1">
      <c r="A28" s="628"/>
      <c r="B28" s="664"/>
      <c r="C28" s="25">
        <v>35586.6</v>
      </c>
      <c r="D28" s="57" t="e">
        <f>#REF!-C28</f>
        <v>#REF!</v>
      </c>
      <c r="E28" s="65">
        <v>0</v>
      </c>
      <c r="F28" s="25"/>
      <c r="G28" s="25"/>
      <c r="H28" s="25">
        <v>0</v>
      </c>
      <c r="I28" s="66">
        <f t="shared" si="10"/>
        <v>0</v>
      </c>
      <c r="J28" s="65">
        <v>0</v>
      </c>
      <c r="K28" s="25"/>
      <c r="L28" s="25"/>
      <c r="M28" s="87">
        <f t="shared" si="6"/>
        <v>0</v>
      </c>
      <c r="N28" s="177">
        <f t="shared" si="5"/>
        <v>0</v>
      </c>
      <c r="O28" s="174" t="s">
        <v>8</v>
      </c>
    </row>
    <row r="29" spans="1:15" ht="67.5" customHeight="1">
      <c r="A29" s="627" t="s">
        <v>17</v>
      </c>
      <c r="B29" s="663" t="s">
        <v>75</v>
      </c>
      <c r="C29" s="25">
        <v>68.7</v>
      </c>
      <c r="D29" s="57" t="e">
        <f>#REF!-C29</f>
        <v>#REF!</v>
      </c>
      <c r="E29" s="65">
        <v>234.8</v>
      </c>
      <c r="F29" s="25">
        <v>68.7</v>
      </c>
      <c r="G29" s="25">
        <f t="shared" ref="G29:G40" si="11">E29-F29</f>
        <v>166.10000000000002</v>
      </c>
      <c r="H29" s="25">
        <v>0</v>
      </c>
      <c r="I29" s="66">
        <f t="shared" si="10"/>
        <v>-234.8</v>
      </c>
      <c r="J29" s="65">
        <v>234.8</v>
      </c>
      <c r="K29" s="25">
        <v>68.7</v>
      </c>
      <c r="L29" s="25">
        <f t="shared" ref="L29:L40" si="12">J29-K29</f>
        <v>166.10000000000002</v>
      </c>
      <c r="M29" s="87">
        <f t="shared" si="6"/>
        <v>0</v>
      </c>
      <c r="N29" s="177">
        <f t="shared" si="5"/>
        <v>-234.8</v>
      </c>
      <c r="O29" s="174" t="s">
        <v>12</v>
      </c>
    </row>
    <row r="30" spans="1:15" ht="48.75" customHeight="1">
      <c r="A30" s="627"/>
      <c r="B30" s="663"/>
      <c r="C30" s="25">
        <v>704.5</v>
      </c>
      <c r="D30" s="57" t="e">
        <f>#REF!-C30</f>
        <v>#REF!</v>
      </c>
      <c r="E30" s="65">
        <v>1584.9</v>
      </c>
      <c r="F30" s="25">
        <v>704.5</v>
      </c>
      <c r="G30" s="25">
        <f t="shared" si="11"/>
        <v>880.40000000000009</v>
      </c>
      <c r="H30" s="25">
        <v>0</v>
      </c>
      <c r="I30" s="66">
        <f t="shared" si="10"/>
        <v>-1584.9</v>
      </c>
      <c r="J30" s="65">
        <v>1584.9</v>
      </c>
      <c r="K30" s="25">
        <v>704.5</v>
      </c>
      <c r="L30" s="25">
        <f t="shared" si="12"/>
        <v>880.40000000000009</v>
      </c>
      <c r="M30" s="87">
        <f t="shared" si="6"/>
        <v>0</v>
      </c>
      <c r="N30" s="177">
        <f t="shared" si="5"/>
        <v>-1584.9</v>
      </c>
      <c r="O30" s="174" t="s">
        <v>8</v>
      </c>
    </row>
    <row r="31" spans="1:15" ht="55.5" customHeight="1">
      <c r="A31" s="627" t="s">
        <v>18</v>
      </c>
      <c r="B31" s="634" t="s">
        <v>76</v>
      </c>
      <c r="C31" s="25">
        <v>85.9</v>
      </c>
      <c r="D31" s="57" t="e">
        <f>#REF!-C31</f>
        <v>#REF!</v>
      </c>
      <c r="E31" s="65">
        <v>293.5</v>
      </c>
      <c r="F31" s="25">
        <v>85.9</v>
      </c>
      <c r="G31" s="25">
        <f t="shared" si="11"/>
        <v>207.6</v>
      </c>
      <c r="H31" s="25">
        <v>0</v>
      </c>
      <c r="I31" s="66">
        <f t="shared" si="10"/>
        <v>-293.5</v>
      </c>
      <c r="J31" s="65">
        <v>293.5</v>
      </c>
      <c r="K31" s="25">
        <v>85.9</v>
      </c>
      <c r="L31" s="25">
        <f t="shared" si="12"/>
        <v>207.6</v>
      </c>
      <c r="M31" s="87">
        <f t="shared" si="6"/>
        <v>0</v>
      </c>
      <c r="N31" s="177">
        <f t="shared" si="5"/>
        <v>-293.5</v>
      </c>
      <c r="O31" s="174" t="s">
        <v>12</v>
      </c>
    </row>
    <row r="32" spans="1:15" ht="63" customHeight="1">
      <c r="A32" s="628"/>
      <c r="B32" s="662"/>
      <c r="C32" s="25">
        <v>880.4</v>
      </c>
      <c r="D32" s="57" t="e">
        <f>#REF!-C32</f>
        <v>#REF!</v>
      </c>
      <c r="E32" s="65">
        <v>880.5</v>
      </c>
      <c r="F32" s="25">
        <v>880.4</v>
      </c>
      <c r="G32" s="25">
        <f t="shared" si="11"/>
        <v>0.10000000000002274</v>
      </c>
      <c r="H32" s="25">
        <v>0</v>
      </c>
      <c r="I32" s="66">
        <f t="shared" si="10"/>
        <v>-880.5</v>
      </c>
      <c r="J32" s="65">
        <v>880.5</v>
      </c>
      <c r="K32" s="25">
        <v>880.4</v>
      </c>
      <c r="L32" s="25">
        <f t="shared" si="12"/>
        <v>0.10000000000002274</v>
      </c>
      <c r="M32" s="87">
        <f t="shared" si="6"/>
        <v>0</v>
      </c>
      <c r="N32" s="177">
        <f t="shared" si="5"/>
        <v>-880.5</v>
      </c>
      <c r="O32" s="174" t="s">
        <v>8</v>
      </c>
    </row>
    <row r="33" spans="1:15" ht="72">
      <c r="A33" s="18" t="s">
        <v>19</v>
      </c>
      <c r="B33" s="13" t="s">
        <v>45</v>
      </c>
      <c r="C33" s="25">
        <v>1456</v>
      </c>
      <c r="D33" s="57" t="e">
        <f>#REF!-C33</f>
        <v>#REF!</v>
      </c>
      <c r="E33" s="65">
        <v>2056.1</v>
      </c>
      <c r="F33" s="25">
        <v>1456</v>
      </c>
      <c r="G33" s="25">
        <f t="shared" si="11"/>
        <v>600.09999999999991</v>
      </c>
      <c r="H33" s="25">
        <v>2056.1</v>
      </c>
      <c r="I33" s="66">
        <f t="shared" ref="I33:I44" si="13">H33-E33</f>
        <v>0</v>
      </c>
      <c r="J33" s="65">
        <v>2056.1</v>
      </c>
      <c r="K33" s="25">
        <v>1456</v>
      </c>
      <c r="L33" s="25">
        <f t="shared" si="12"/>
        <v>600.09999999999991</v>
      </c>
      <c r="M33" s="87">
        <f t="shared" si="6"/>
        <v>2056.1</v>
      </c>
      <c r="N33" s="177">
        <f t="shared" si="5"/>
        <v>0</v>
      </c>
      <c r="O33" s="174" t="s">
        <v>12</v>
      </c>
    </row>
    <row r="34" spans="1:15" ht="72">
      <c r="A34" s="18" t="s">
        <v>27</v>
      </c>
      <c r="B34" s="13" t="s">
        <v>41</v>
      </c>
      <c r="C34" s="25">
        <v>6999.2</v>
      </c>
      <c r="D34" s="57" t="e">
        <f>#REF!-C34</f>
        <v>#REF!</v>
      </c>
      <c r="E34" s="65">
        <v>8452.5</v>
      </c>
      <c r="F34" s="25">
        <v>6999.2</v>
      </c>
      <c r="G34" s="25">
        <f t="shared" si="11"/>
        <v>1453.3000000000002</v>
      </c>
      <c r="H34" s="25">
        <v>8452.5</v>
      </c>
      <c r="I34" s="66">
        <f t="shared" si="13"/>
        <v>0</v>
      </c>
      <c r="J34" s="65">
        <v>8452.5</v>
      </c>
      <c r="K34" s="25">
        <v>6999.2</v>
      </c>
      <c r="L34" s="25">
        <f t="shared" si="12"/>
        <v>1453.3000000000002</v>
      </c>
      <c r="M34" s="87">
        <f t="shared" si="6"/>
        <v>8452.5</v>
      </c>
      <c r="N34" s="177">
        <f t="shared" si="5"/>
        <v>0</v>
      </c>
      <c r="O34" s="174" t="s">
        <v>12</v>
      </c>
    </row>
    <row r="35" spans="1:15" ht="51" customHeight="1">
      <c r="A35" s="18" t="s">
        <v>29</v>
      </c>
      <c r="B35" s="13" t="s">
        <v>44</v>
      </c>
      <c r="C35" s="25"/>
      <c r="D35" s="57"/>
      <c r="E35" s="65">
        <v>6000</v>
      </c>
      <c r="F35" s="25">
        <v>3000</v>
      </c>
      <c r="G35" s="25">
        <f t="shared" si="11"/>
        <v>3000</v>
      </c>
      <c r="H35" s="25">
        <v>6000</v>
      </c>
      <c r="I35" s="66">
        <f t="shared" si="13"/>
        <v>0</v>
      </c>
      <c r="J35" s="65">
        <v>6000</v>
      </c>
      <c r="K35" s="25">
        <v>3000</v>
      </c>
      <c r="L35" s="25">
        <f t="shared" si="12"/>
        <v>3000</v>
      </c>
      <c r="M35" s="87">
        <f t="shared" si="6"/>
        <v>6000</v>
      </c>
      <c r="N35" s="177">
        <f t="shared" si="5"/>
        <v>0</v>
      </c>
      <c r="O35" s="174" t="s">
        <v>12</v>
      </c>
    </row>
    <row r="36" spans="1:15" ht="102" customHeight="1">
      <c r="A36" s="18" t="s">
        <v>30</v>
      </c>
      <c r="B36" s="13" t="s">
        <v>42</v>
      </c>
      <c r="C36" s="25"/>
      <c r="D36" s="57"/>
      <c r="E36" s="65">
        <v>0</v>
      </c>
      <c r="F36" s="25"/>
      <c r="G36" s="25"/>
      <c r="H36" s="25"/>
      <c r="I36" s="66">
        <f t="shared" si="13"/>
        <v>0</v>
      </c>
      <c r="J36" s="65">
        <v>0</v>
      </c>
      <c r="K36" s="25"/>
      <c r="L36" s="25"/>
      <c r="M36" s="87">
        <f t="shared" si="6"/>
        <v>0</v>
      </c>
      <c r="N36" s="177">
        <f t="shared" si="5"/>
        <v>0</v>
      </c>
      <c r="O36" s="174" t="s">
        <v>12</v>
      </c>
    </row>
    <row r="37" spans="1:15" ht="141" customHeight="1">
      <c r="A37" s="18" t="s">
        <v>33</v>
      </c>
      <c r="B37" s="13" t="s">
        <v>66</v>
      </c>
      <c r="C37" s="25">
        <v>0</v>
      </c>
      <c r="D37" s="57" t="e">
        <f>#REF!-C37</f>
        <v>#REF!</v>
      </c>
      <c r="E37" s="65">
        <v>70</v>
      </c>
      <c r="F37" s="25">
        <v>0</v>
      </c>
      <c r="G37" s="25">
        <f t="shared" si="11"/>
        <v>70</v>
      </c>
      <c r="H37" s="25">
        <v>0</v>
      </c>
      <c r="I37" s="66">
        <f t="shared" si="13"/>
        <v>-70</v>
      </c>
      <c r="J37" s="65">
        <v>70</v>
      </c>
      <c r="K37" s="25">
        <v>0</v>
      </c>
      <c r="L37" s="25">
        <f t="shared" si="12"/>
        <v>70</v>
      </c>
      <c r="M37" s="87">
        <f t="shared" si="6"/>
        <v>0</v>
      </c>
      <c r="N37" s="177">
        <f t="shared" si="5"/>
        <v>-70</v>
      </c>
      <c r="O37" s="174" t="s">
        <v>12</v>
      </c>
    </row>
    <row r="38" spans="1:15" ht="38.25" customHeight="1">
      <c r="A38" s="627" t="s">
        <v>40</v>
      </c>
      <c r="B38" s="634" t="s">
        <v>64</v>
      </c>
      <c r="C38" s="25">
        <v>0</v>
      </c>
      <c r="D38" s="57" t="e">
        <f>#REF!-C38</f>
        <v>#REF!</v>
      </c>
      <c r="E38" s="65">
        <v>10</v>
      </c>
      <c r="F38" s="25">
        <v>0</v>
      </c>
      <c r="G38" s="25">
        <f t="shared" si="11"/>
        <v>10</v>
      </c>
      <c r="H38" s="25"/>
      <c r="I38" s="66">
        <f t="shared" si="13"/>
        <v>-10</v>
      </c>
      <c r="J38" s="65">
        <v>10</v>
      </c>
      <c r="K38" s="25">
        <v>0</v>
      </c>
      <c r="L38" s="25">
        <f t="shared" si="12"/>
        <v>10</v>
      </c>
      <c r="M38" s="87">
        <f t="shared" si="6"/>
        <v>0</v>
      </c>
      <c r="N38" s="177">
        <f t="shared" si="5"/>
        <v>-10</v>
      </c>
      <c r="O38" s="174" t="s">
        <v>12</v>
      </c>
    </row>
    <row r="39" spans="1:15" ht="54.75" customHeight="1">
      <c r="A39" s="452"/>
      <c r="B39" s="635"/>
      <c r="C39" s="25">
        <v>0</v>
      </c>
      <c r="D39" s="57" t="e">
        <f>#REF!-C39</f>
        <v>#REF!</v>
      </c>
      <c r="E39" s="65">
        <v>322.60000000000002</v>
      </c>
      <c r="F39" s="25">
        <v>0</v>
      </c>
      <c r="G39" s="25">
        <f t="shared" si="11"/>
        <v>322.60000000000002</v>
      </c>
      <c r="H39" s="25"/>
      <c r="I39" s="66">
        <f t="shared" si="13"/>
        <v>-322.60000000000002</v>
      </c>
      <c r="J39" s="65">
        <v>322.60000000000002</v>
      </c>
      <c r="K39" s="25">
        <v>0</v>
      </c>
      <c r="L39" s="25">
        <f t="shared" si="12"/>
        <v>322.60000000000002</v>
      </c>
      <c r="M39" s="87">
        <f t="shared" si="6"/>
        <v>0</v>
      </c>
      <c r="N39" s="177">
        <f t="shared" si="5"/>
        <v>-322.60000000000002</v>
      </c>
      <c r="O39" s="174" t="s">
        <v>8</v>
      </c>
    </row>
    <row r="40" spans="1:15" ht="72">
      <c r="A40" s="19" t="s">
        <v>91</v>
      </c>
      <c r="B40" s="13" t="s">
        <v>43</v>
      </c>
      <c r="C40" s="25">
        <v>3411.6</v>
      </c>
      <c r="D40" s="57" t="e">
        <f>#REF!-C40</f>
        <v>#REF!</v>
      </c>
      <c r="E40" s="65">
        <v>3371.6</v>
      </c>
      <c r="F40" s="25">
        <v>3411.6</v>
      </c>
      <c r="G40" s="25">
        <f t="shared" si="11"/>
        <v>-40</v>
      </c>
      <c r="H40" s="25">
        <v>3371.6</v>
      </c>
      <c r="I40" s="66">
        <f t="shared" si="13"/>
        <v>0</v>
      </c>
      <c r="J40" s="65">
        <v>3371.6</v>
      </c>
      <c r="K40" s="25">
        <v>3411.6</v>
      </c>
      <c r="L40" s="25">
        <f t="shared" si="12"/>
        <v>-40</v>
      </c>
      <c r="M40" s="87">
        <f t="shared" si="6"/>
        <v>3371.6</v>
      </c>
      <c r="N40" s="177">
        <f t="shared" si="5"/>
        <v>0</v>
      </c>
      <c r="O40" s="174"/>
    </row>
    <row r="41" spans="1:15" ht="120">
      <c r="A41" s="19" t="s">
        <v>97</v>
      </c>
      <c r="B41" s="13" t="s">
        <v>88</v>
      </c>
      <c r="C41" s="25"/>
      <c r="D41" s="57"/>
      <c r="E41" s="65">
        <v>0</v>
      </c>
      <c r="F41" s="25"/>
      <c r="G41" s="25"/>
      <c r="H41" s="25">
        <v>0</v>
      </c>
      <c r="I41" s="66">
        <f t="shared" si="13"/>
        <v>0</v>
      </c>
      <c r="J41" s="65">
        <v>0</v>
      </c>
      <c r="K41" s="25"/>
      <c r="L41" s="25"/>
      <c r="M41" s="87">
        <f t="shared" si="6"/>
        <v>0</v>
      </c>
      <c r="N41" s="177">
        <f t="shared" si="5"/>
        <v>0</v>
      </c>
      <c r="O41" s="174"/>
    </row>
    <row r="42" spans="1:15" ht="96">
      <c r="A42" s="19" t="s">
        <v>98</v>
      </c>
      <c r="B42" s="13" t="s">
        <v>90</v>
      </c>
      <c r="C42" s="25"/>
      <c r="D42" s="57"/>
      <c r="E42" s="65">
        <v>0</v>
      </c>
      <c r="F42" s="25"/>
      <c r="G42" s="25"/>
      <c r="H42" s="25">
        <v>0</v>
      </c>
      <c r="I42" s="66">
        <f t="shared" si="13"/>
        <v>0</v>
      </c>
      <c r="J42" s="65">
        <v>0</v>
      </c>
      <c r="K42" s="25"/>
      <c r="L42" s="25"/>
      <c r="M42" s="87">
        <f t="shared" si="6"/>
        <v>0</v>
      </c>
      <c r="N42" s="177">
        <f t="shared" si="5"/>
        <v>0</v>
      </c>
      <c r="O42" s="174"/>
    </row>
    <row r="43" spans="1:15" ht="61.5" customHeight="1">
      <c r="A43" s="637">
        <v>2</v>
      </c>
      <c r="B43" s="634" t="s">
        <v>32</v>
      </c>
      <c r="C43" s="25">
        <f t="shared" ref="C43:C45" si="14">C47+C51</f>
        <v>10.8</v>
      </c>
      <c r="D43" s="57" t="e">
        <f>#REF!-C43</f>
        <v>#REF!</v>
      </c>
      <c r="E43" s="65">
        <f t="shared" ref="E43:F45" si="15">E47+E51</f>
        <v>562</v>
      </c>
      <c r="F43" s="25">
        <f t="shared" si="15"/>
        <v>12.2</v>
      </c>
      <c r="G43" s="25">
        <f>E43-F43</f>
        <v>549.79999999999995</v>
      </c>
      <c r="H43" s="25">
        <f>E43</f>
        <v>562</v>
      </c>
      <c r="I43" s="66">
        <f t="shared" si="13"/>
        <v>0</v>
      </c>
      <c r="J43" s="65">
        <f t="shared" ref="J43:K45" si="16">J47+J51</f>
        <v>0</v>
      </c>
      <c r="K43" s="25">
        <f t="shared" si="16"/>
        <v>12.2</v>
      </c>
      <c r="L43" s="25">
        <f>J43-K43</f>
        <v>-12.2</v>
      </c>
      <c r="M43" s="87">
        <v>0</v>
      </c>
      <c r="N43" s="177">
        <f t="shared" si="5"/>
        <v>0</v>
      </c>
      <c r="O43" s="174" t="s">
        <v>12</v>
      </c>
    </row>
    <row r="44" spans="1:15" ht="61.5" customHeight="1">
      <c r="A44" s="637"/>
      <c r="B44" s="634"/>
      <c r="C44" s="25">
        <f t="shared" si="14"/>
        <v>698.5</v>
      </c>
      <c r="D44" s="57" t="e">
        <f>#REF!-C44</f>
        <v>#REF!</v>
      </c>
      <c r="E44" s="65">
        <v>1061.9000000000001</v>
      </c>
      <c r="F44" s="25">
        <f t="shared" si="15"/>
        <v>811.6</v>
      </c>
      <c r="G44" s="25">
        <f t="shared" ref="G44:G46" si="17">E44-F44</f>
        <v>250.30000000000007</v>
      </c>
      <c r="H44" s="25">
        <f t="shared" ref="H44:H45" si="18">E44</f>
        <v>1061.9000000000001</v>
      </c>
      <c r="I44" s="66">
        <f t="shared" si="13"/>
        <v>0</v>
      </c>
      <c r="J44" s="65">
        <f t="shared" si="16"/>
        <v>0</v>
      </c>
      <c r="K44" s="25">
        <f t="shared" si="16"/>
        <v>811.6</v>
      </c>
      <c r="L44" s="25">
        <f t="shared" ref="L44:L46" si="19">J44-K44</f>
        <v>-811.6</v>
      </c>
      <c r="M44" s="87">
        <v>0</v>
      </c>
      <c r="N44" s="177">
        <f t="shared" si="5"/>
        <v>0</v>
      </c>
      <c r="O44" s="174" t="s">
        <v>8</v>
      </c>
    </row>
    <row r="45" spans="1:15" ht="61.5" customHeight="1">
      <c r="A45" s="637"/>
      <c r="B45" s="634"/>
      <c r="C45" s="25">
        <f t="shared" si="14"/>
        <v>2627.5</v>
      </c>
      <c r="D45" s="57" t="e">
        <f>#REF!-C45</f>
        <v>#REF!</v>
      </c>
      <c r="E45" s="65">
        <v>6973.8</v>
      </c>
      <c r="F45" s="25">
        <f t="shared" si="15"/>
        <v>3053.1</v>
      </c>
      <c r="G45" s="25">
        <f t="shared" si="17"/>
        <v>3920.7000000000003</v>
      </c>
      <c r="H45" s="25">
        <f t="shared" si="18"/>
        <v>6973.8</v>
      </c>
      <c r="I45" s="66">
        <f>H45-E45</f>
        <v>0</v>
      </c>
      <c r="J45" s="65">
        <f t="shared" si="16"/>
        <v>0</v>
      </c>
      <c r="K45" s="25">
        <f t="shared" si="16"/>
        <v>3053.1</v>
      </c>
      <c r="L45" s="25">
        <f t="shared" si="19"/>
        <v>-3053.1</v>
      </c>
      <c r="M45" s="87">
        <v>0</v>
      </c>
      <c r="N45" s="177">
        <f t="shared" si="5"/>
        <v>0</v>
      </c>
      <c r="O45" s="174" t="s">
        <v>119</v>
      </c>
    </row>
    <row r="46" spans="1:15" s="1" customFormat="1" ht="205.5" customHeight="1">
      <c r="A46" s="20"/>
      <c r="B46" s="13" t="s">
        <v>38</v>
      </c>
      <c r="C46" s="25">
        <f>C43+C44+C45</f>
        <v>3336.8</v>
      </c>
      <c r="D46" s="57" t="e">
        <f>#REF!-C46</f>
        <v>#REF!</v>
      </c>
      <c r="E46" s="65">
        <f t="shared" ref="E46:F46" si="20">E43+E44+E45</f>
        <v>8597.7000000000007</v>
      </c>
      <c r="F46" s="25">
        <f t="shared" si="20"/>
        <v>3876.9</v>
      </c>
      <c r="G46" s="25">
        <f t="shared" si="17"/>
        <v>4720.8000000000011</v>
      </c>
      <c r="H46" s="25">
        <f>E46</f>
        <v>8597.7000000000007</v>
      </c>
      <c r="I46" s="66">
        <f t="shared" ref="I46:I64" si="21">H46-E46</f>
        <v>0</v>
      </c>
      <c r="J46" s="65">
        <f t="shared" ref="J46:K46" si="22">J43+J44+J45</f>
        <v>0</v>
      </c>
      <c r="K46" s="25">
        <f t="shared" si="22"/>
        <v>3876.9</v>
      </c>
      <c r="L46" s="25">
        <f t="shared" si="19"/>
        <v>-3876.9</v>
      </c>
      <c r="M46" s="87">
        <v>0</v>
      </c>
      <c r="N46" s="177">
        <f t="shared" si="5"/>
        <v>0</v>
      </c>
      <c r="O46" s="174"/>
    </row>
    <row r="47" spans="1:15" ht="72.75" customHeight="1">
      <c r="A47" s="627" t="s">
        <v>48</v>
      </c>
      <c r="B47" s="638" t="s">
        <v>59</v>
      </c>
      <c r="C47" s="25">
        <v>10.8</v>
      </c>
      <c r="D47" s="57" t="e">
        <f>#REF!-C47</f>
        <v>#REF!</v>
      </c>
      <c r="E47" s="65">
        <v>500</v>
      </c>
      <c r="F47" s="25">
        <v>12.2</v>
      </c>
      <c r="G47" s="25">
        <f>E47-F47</f>
        <v>487.8</v>
      </c>
      <c r="H47" s="25">
        <f>E47</f>
        <v>500</v>
      </c>
      <c r="I47" s="66">
        <f t="shared" si="21"/>
        <v>0</v>
      </c>
      <c r="J47" s="65">
        <v>0</v>
      </c>
      <c r="K47" s="25">
        <v>12.2</v>
      </c>
      <c r="L47" s="25">
        <f>J47-K47</f>
        <v>-12.2</v>
      </c>
      <c r="M47" s="87">
        <v>0</v>
      </c>
      <c r="N47" s="177">
        <f t="shared" si="5"/>
        <v>0</v>
      </c>
      <c r="O47" s="174" t="s">
        <v>12</v>
      </c>
    </row>
    <row r="48" spans="1:15" ht="75" customHeight="1">
      <c r="A48" s="628"/>
      <c r="B48" s="639"/>
      <c r="C48" s="25">
        <v>698.5</v>
      </c>
      <c r="D48" s="57" t="e">
        <f>#REF!-C48</f>
        <v>#REF!</v>
      </c>
      <c r="E48" s="65">
        <v>914.7</v>
      </c>
      <c r="F48" s="25">
        <v>811.6</v>
      </c>
      <c r="G48" s="25">
        <f t="shared" ref="G48:G49" si="23">E48-F48</f>
        <v>103.10000000000002</v>
      </c>
      <c r="H48" s="25">
        <f>E48</f>
        <v>914.7</v>
      </c>
      <c r="I48" s="66">
        <f t="shared" si="21"/>
        <v>0</v>
      </c>
      <c r="J48" s="65">
        <v>0</v>
      </c>
      <c r="K48" s="25">
        <v>811.6</v>
      </c>
      <c r="L48" s="25">
        <f t="shared" ref="L48:L49" si="24">J48-K48</f>
        <v>-811.6</v>
      </c>
      <c r="M48" s="87">
        <v>0</v>
      </c>
      <c r="N48" s="177">
        <f t="shared" si="5"/>
        <v>0</v>
      </c>
      <c r="O48" s="174" t="s">
        <v>8</v>
      </c>
    </row>
    <row r="49" spans="1:15" ht="74.25" customHeight="1">
      <c r="A49" s="628"/>
      <c r="B49" s="639"/>
      <c r="C49" s="25">
        <v>2627.5</v>
      </c>
      <c r="D49" s="57" t="e">
        <f>#REF!-C49</f>
        <v>#REF!</v>
      </c>
      <c r="E49" s="65">
        <v>3440.8</v>
      </c>
      <c r="F49" s="25">
        <v>3053.1</v>
      </c>
      <c r="G49" s="25">
        <f t="shared" si="23"/>
        <v>387.70000000000027</v>
      </c>
      <c r="H49" s="25">
        <f>E49</f>
        <v>3440.8</v>
      </c>
      <c r="I49" s="66">
        <f t="shared" si="21"/>
        <v>0</v>
      </c>
      <c r="J49" s="65">
        <v>0</v>
      </c>
      <c r="K49" s="25">
        <v>3053.1</v>
      </c>
      <c r="L49" s="25">
        <f t="shared" si="24"/>
        <v>-3053.1</v>
      </c>
      <c r="M49" s="87">
        <v>0</v>
      </c>
      <c r="N49" s="177">
        <f t="shared" si="5"/>
        <v>0</v>
      </c>
      <c r="O49" s="174" t="s">
        <v>119</v>
      </c>
    </row>
    <row r="50" spans="1:15" ht="92.25" customHeight="1">
      <c r="A50" s="48"/>
      <c r="B50" s="13" t="s">
        <v>60</v>
      </c>
      <c r="C50" s="25">
        <f t="shared" ref="C50:L50" si="25">C47+C48+C49</f>
        <v>3336.8</v>
      </c>
      <c r="D50" s="57" t="e">
        <f t="shared" si="25"/>
        <v>#REF!</v>
      </c>
      <c r="E50" s="65">
        <f t="shared" si="25"/>
        <v>4855.5</v>
      </c>
      <c r="F50" s="25">
        <f t="shared" si="25"/>
        <v>3876.9</v>
      </c>
      <c r="G50" s="25">
        <f t="shared" si="25"/>
        <v>978.60000000000036</v>
      </c>
      <c r="H50" s="25">
        <f>E50</f>
        <v>4855.5</v>
      </c>
      <c r="I50" s="66">
        <f t="shared" si="21"/>
        <v>0</v>
      </c>
      <c r="J50" s="65">
        <f t="shared" si="25"/>
        <v>0</v>
      </c>
      <c r="K50" s="25">
        <f t="shared" si="25"/>
        <v>3876.9</v>
      </c>
      <c r="L50" s="25">
        <f t="shared" si="25"/>
        <v>-3876.9</v>
      </c>
      <c r="M50" s="87">
        <v>0</v>
      </c>
      <c r="N50" s="177">
        <f t="shared" si="5"/>
        <v>0</v>
      </c>
      <c r="O50" s="174"/>
    </row>
    <row r="51" spans="1:15" ht="87.75" customHeight="1">
      <c r="A51" s="627" t="s">
        <v>61</v>
      </c>
      <c r="B51" s="634" t="s">
        <v>63</v>
      </c>
      <c r="C51" s="25">
        <v>0</v>
      </c>
      <c r="D51" s="57" t="e">
        <f>#REF!-C51</f>
        <v>#REF!</v>
      </c>
      <c r="E51" s="65">
        <v>62</v>
      </c>
      <c r="F51" s="25">
        <v>0</v>
      </c>
      <c r="G51" s="25">
        <f>E51-F51</f>
        <v>62</v>
      </c>
      <c r="H51" s="25">
        <f t="shared" ref="H51:H55" si="26">E51</f>
        <v>62</v>
      </c>
      <c r="I51" s="66">
        <f t="shared" si="21"/>
        <v>0</v>
      </c>
      <c r="J51" s="65">
        <v>0</v>
      </c>
      <c r="K51" s="25">
        <v>0</v>
      </c>
      <c r="L51" s="25">
        <f>J51-K51</f>
        <v>0</v>
      </c>
      <c r="M51" s="87">
        <v>0</v>
      </c>
      <c r="N51" s="177">
        <f t="shared" si="5"/>
        <v>0</v>
      </c>
      <c r="O51" s="174" t="s">
        <v>12</v>
      </c>
    </row>
    <row r="52" spans="1:15" ht="41.25" customHeight="1">
      <c r="A52" s="628"/>
      <c r="B52" s="634"/>
      <c r="C52" s="25">
        <v>0</v>
      </c>
      <c r="D52" s="57" t="e">
        <f>#REF!-C52</f>
        <v>#REF!</v>
      </c>
      <c r="E52" s="65">
        <v>147.19999999999999</v>
      </c>
      <c r="F52" s="25">
        <v>0</v>
      </c>
      <c r="G52" s="25">
        <f>E52-F52</f>
        <v>147.19999999999999</v>
      </c>
      <c r="H52" s="25">
        <f t="shared" si="26"/>
        <v>147.19999999999999</v>
      </c>
      <c r="I52" s="66">
        <f t="shared" si="21"/>
        <v>0</v>
      </c>
      <c r="J52" s="65">
        <v>0</v>
      </c>
      <c r="K52" s="25">
        <v>0</v>
      </c>
      <c r="L52" s="25">
        <f t="shared" ref="L52:L53" si="27">J52-K52</f>
        <v>0</v>
      </c>
      <c r="M52" s="87">
        <v>0</v>
      </c>
      <c r="N52" s="177">
        <f t="shared" si="5"/>
        <v>0</v>
      </c>
      <c r="O52" s="174" t="s">
        <v>8</v>
      </c>
    </row>
    <row r="53" spans="1:15" ht="90.75" customHeight="1">
      <c r="A53" s="628"/>
      <c r="B53" s="634"/>
      <c r="C53" s="25"/>
      <c r="D53" s="57"/>
      <c r="E53" s="65">
        <v>3533</v>
      </c>
      <c r="F53" s="25"/>
      <c r="G53" s="25"/>
      <c r="H53" s="25">
        <f t="shared" si="26"/>
        <v>3533</v>
      </c>
      <c r="I53" s="66">
        <f t="shared" si="21"/>
        <v>0</v>
      </c>
      <c r="J53" s="65">
        <v>0</v>
      </c>
      <c r="K53" s="25">
        <v>0</v>
      </c>
      <c r="L53" s="25">
        <f t="shared" si="27"/>
        <v>0</v>
      </c>
      <c r="M53" s="87">
        <v>0</v>
      </c>
      <c r="N53" s="177">
        <f t="shared" si="5"/>
        <v>0</v>
      </c>
      <c r="O53" s="174" t="s">
        <v>119</v>
      </c>
    </row>
    <row r="54" spans="1:15" ht="237" customHeight="1">
      <c r="A54" s="48"/>
      <c r="B54" s="49" t="s">
        <v>69</v>
      </c>
      <c r="C54" s="28">
        <f t="shared" ref="C54:L54" si="28">C51+C52+C53</f>
        <v>0</v>
      </c>
      <c r="D54" s="59" t="e">
        <f t="shared" si="28"/>
        <v>#REF!</v>
      </c>
      <c r="E54" s="69">
        <f t="shared" si="28"/>
        <v>3742.2</v>
      </c>
      <c r="F54" s="28">
        <f t="shared" si="28"/>
        <v>0</v>
      </c>
      <c r="G54" s="28">
        <f t="shared" si="28"/>
        <v>209.2</v>
      </c>
      <c r="H54" s="25">
        <f>E54</f>
        <v>3742.2</v>
      </c>
      <c r="I54" s="66">
        <f t="shared" si="21"/>
        <v>0</v>
      </c>
      <c r="J54" s="69">
        <f t="shared" si="28"/>
        <v>0</v>
      </c>
      <c r="K54" s="28">
        <f t="shared" si="28"/>
        <v>0</v>
      </c>
      <c r="L54" s="28">
        <f t="shared" si="28"/>
        <v>0</v>
      </c>
      <c r="M54" s="87">
        <v>0</v>
      </c>
      <c r="N54" s="177">
        <f t="shared" si="5"/>
        <v>0</v>
      </c>
      <c r="O54" s="174"/>
    </row>
    <row r="55" spans="1:15" ht="90.75" customHeight="1">
      <c r="A55" s="40">
        <v>3</v>
      </c>
      <c r="B55" s="17" t="s">
        <v>51</v>
      </c>
      <c r="C55" s="28">
        <v>5613.4</v>
      </c>
      <c r="D55" s="59" t="e">
        <f>#REF!-C55</f>
        <v>#REF!</v>
      </c>
      <c r="E55" s="69">
        <v>6849.6</v>
      </c>
      <c r="F55" s="28">
        <v>5613.4</v>
      </c>
      <c r="G55" s="28">
        <f>E55-F55</f>
        <v>1236.2000000000007</v>
      </c>
      <c r="H55" s="25">
        <f t="shared" si="26"/>
        <v>6849.6</v>
      </c>
      <c r="I55" s="66">
        <f t="shared" si="21"/>
        <v>0</v>
      </c>
      <c r="J55" s="69">
        <v>6849.6</v>
      </c>
      <c r="K55" s="28">
        <v>5613.4</v>
      </c>
      <c r="L55" s="28">
        <f>J55-K55</f>
        <v>1236.2000000000007</v>
      </c>
      <c r="M55" s="87">
        <f t="shared" si="6"/>
        <v>6849.6</v>
      </c>
      <c r="N55" s="177">
        <f t="shared" si="5"/>
        <v>0</v>
      </c>
      <c r="O55" s="174" t="s">
        <v>120</v>
      </c>
    </row>
    <row r="56" spans="1:15" ht="90.75" customHeight="1">
      <c r="A56" s="640">
        <v>4</v>
      </c>
      <c r="B56" s="17" t="s">
        <v>86</v>
      </c>
      <c r="C56" s="28"/>
      <c r="D56" s="59"/>
      <c r="E56" s="69">
        <v>0</v>
      </c>
      <c r="F56" s="28"/>
      <c r="G56" s="28"/>
      <c r="H56" s="28">
        <v>0</v>
      </c>
      <c r="I56" s="66">
        <f t="shared" si="21"/>
        <v>0</v>
      </c>
      <c r="J56" s="69"/>
      <c r="K56" s="28"/>
      <c r="L56" s="28"/>
      <c r="M56" s="87">
        <f t="shared" si="6"/>
        <v>0</v>
      </c>
      <c r="N56" s="177">
        <f t="shared" si="5"/>
        <v>0</v>
      </c>
      <c r="O56" s="174"/>
    </row>
    <row r="57" spans="1:15" ht="121.5" customHeight="1">
      <c r="A57" s="452"/>
      <c r="B57" s="641" t="s">
        <v>87</v>
      </c>
      <c r="C57" s="28"/>
      <c r="D57" s="59"/>
      <c r="E57" s="69">
        <v>0</v>
      </c>
      <c r="F57" s="28"/>
      <c r="G57" s="28"/>
      <c r="H57" s="28">
        <v>0</v>
      </c>
      <c r="I57" s="66">
        <f t="shared" si="21"/>
        <v>0</v>
      </c>
      <c r="J57" s="69">
        <v>0</v>
      </c>
      <c r="K57" s="28"/>
      <c r="L57" s="28"/>
      <c r="M57" s="87">
        <f t="shared" si="6"/>
        <v>0</v>
      </c>
      <c r="N57" s="177">
        <f t="shared" si="5"/>
        <v>0</v>
      </c>
      <c r="O57" s="174"/>
    </row>
    <row r="58" spans="1:15" ht="103.5" customHeight="1">
      <c r="A58" s="452"/>
      <c r="B58" s="635"/>
      <c r="C58" s="28"/>
      <c r="D58" s="59"/>
      <c r="E58" s="69">
        <v>0</v>
      </c>
      <c r="F58" s="28"/>
      <c r="G58" s="28"/>
      <c r="H58" s="28">
        <v>0</v>
      </c>
      <c r="I58" s="66">
        <f t="shared" si="21"/>
        <v>0</v>
      </c>
      <c r="J58" s="69">
        <v>0</v>
      </c>
      <c r="K58" s="28"/>
      <c r="L58" s="28"/>
      <c r="M58" s="87">
        <f t="shared" si="6"/>
        <v>0</v>
      </c>
      <c r="N58" s="177">
        <f t="shared" si="5"/>
        <v>0</v>
      </c>
      <c r="O58" s="174"/>
    </row>
    <row r="59" spans="1:15" ht="103.5" customHeight="1">
      <c r="A59" s="640">
        <v>5</v>
      </c>
      <c r="B59" s="13" t="s">
        <v>100</v>
      </c>
      <c r="C59" s="25">
        <f t="shared" ref="C59:L59" si="29">C60</f>
        <v>0</v>
      </c>
      <c r="D59" s="57">
        <f t="shared" si="29"/>
        <v>0</v>
      </c>
      <c r="E59" s="65">
        <f t="shared" si="29"/>
        <v>0</v>
      </c>
      <c r="F59" s="25">
        <f t="shared" si="29"/>
        <v>0</v>
      </c>
      <c r="G59" s="25">
        <f t="shared" si="29"/>
        <v>0</v>
      </c>
      <c r="H59" s="25">
        <v>0</v>
      </c>
      <c r="I59" s="66">
        <f t="shared" si="21"/>
        <v>0</v>
      </c>
      <c r="J59" s="65">
        <f t="shared" si="29"/>
        <v>0</v>
      </c>
      <c r="K59" s="25">
        <f t="shared" si="29"/>
        <v>0</v>
      </c>
      <c r="L59" s="25">
        <f t="shared" si="29"/>
        <v>0</v>
      </c>
      <c r="M59" s="87">
        <f t="shared" si="6"/>
        <v>0</v>
      </c>
      <c r="N59" s="177">
        <f t="shared" si="5"/>
        <v>0</v>
      </c>
      <c r="O59" s="174"/>
    </row>
    <row r="60" spans="1:15" ht="159.75" customHeight="1">
      <c r="A60" s="452"/>
      <c r="B60" s="17" t="s">
        <v>94</v>
      </c>
      <c r="C60" s="28"/>
      <c r="D60" s="59"/>
      <c r="E60" s="69">
        <v>0</v>
      </c>
      <c r="F60" s="28"/>
      <c r="G60" s="28"/>
      <c r="H60" s="28">
        <v>0</v>
      </c>
      <c r="I60" s="66">
        <f t="shared" si="21"/>
        <v>0</v>
      </c>
      <c r="J60" s="69">
        <v>0</v>
      </c>
      <c r="K60" s="28"/>
      <c r="L60" s="28"/>
      <c r="M60" s="87">
        <f t="shared" si="6"/>
        <v>0</v>
      </c>
      <c r="N60" s="177">
        <f t="shared" si="5"/>
        <v>0</v>
      </c>
      <c r="O60" s="174"/>
    </row>
    <row r="61" spans="1:15" s="6" customFormat="1" ht="60.75" customHeight="1">
      <c r="A61" s="21"/>
      <c r="B61" s="40" t="s">
        <v>20</v>
      </c>
      <c r="C61" s="46">
        <v>23498.799999999999</v>
      </c>
      <c r="D61" s="60" t="e">
        <f>#REF!-C61</f>
        <v>#REF!</v>
      </c>
      <c r="E61" s="71">
        <f>E10+E55+E43</f>
        <v>28499.699999999997</v>
      </c>
      <c r="F61" s="71">
        <f t="shared" ref="F61:G61" si="30">F10+F55+F43</f>
        <v>23680.7</v>
      </c>
      <c r="G61" s="71">
        <f t="shared" si="30"/>
        <v>4349.4000000000005</v>
      </c>
      <c r="H61" s="71">
        <f>H10+H55+H43</f>
        <v>27391.799999999996</v>
      </c>
      <c r="I61" s="66">
        <f t="shared" si="21"/>
        <v>-1107.9000000000015</v>
      </c>
      <c r="J61" s="71">
        <f t="shared" ref="J61:M61" si="31">J10+J55+J43</f>
        <v>27937.699999999997</v>
      </c>
      <c r="K61" s="71">
        <f t="shared" si="31"/>
        <v>25376.799999999999</v>
      </c>
      <c r="L61" s="71">
        <f t="shared" si="31"/>
        <v>2560.8999999999987</v>
      </c>
      <c r="M61" s="71">
        <f t="shared" si="31"/>
        <v>26829.799999999996</v>
      </c>
      <c r="N61" s="177">
        <f t="shared" si="5"/>
        <v>-1107.9000000000015</v>
      </c>
      <c r="O61" s="174"/>
    </row>
    <row r="62" spans="1:15" s="6" customFormat="1" ht="45.75" customHeight="1">
      <c r="A62" s="21"/>
      <c r="B62" s="14" t="s">
        <v>21</v>
      </c>
      <c r="C62" s="46">
        <v>43783.7</v>
      </c>
      <c r="D62" s="60" t="e">
        <f>#REF!-C62</f>
        <v>#REF!</v>
      </c>
      <c r="E62" s="71">
        <f>E44+E11</f>
        <v>11148.699999999999</v>
      </c>
      <c r="F62" s="71">
        <f t="shared" ref="F62:G62" si="32">F44+F11</f>
        <v>8310.1999999999989</v>
      </c>
      <c r="G62" s="71">
        <f t="shared" si="32"/>
        <v>2838.5</v>
      </c>
      <c r="H62" s="71">
        <f>H44+H11</f>
        <v>3646.4</v>
      </c>
      <c r="I62" s="66">
        <f t="shared" si="21"/>
        <v>-7502.2999999999993</v>
      </c>
      <c r="J62" s="71">
        <f t="shared" ref="J62:M62" si="33">J44+J11</f>
        <v>10086.799999999999</v>
      </c>
      <c r="K62" s="71">
        <f t="shared" si="33"/>
        <v>8310.2000000000007</v>
      </c>
      <c r="L62" s="71">
        <f t="shared" si="33"/>
        <v>1776.599999999999</v>
      </c>
      <c r="M62" s="71">
        <f t="shared" si="33"/>
        <v>2584.5</v>
      </c>
      <c r="N62" s="177">
        <f t="shared" si="5"/>
        <v>-7502.2999999999993</v>
      </c>
      <c r="O62" s="174"/>
    </row>
    <row r="63" spans="1:15" s="6" customFormat="1" ht="54.75" customHeight="1">
      <c r="A63" s="21"/>
      <c r="B63" s="14" t="s">
        <v>9</v>
      </c>
      <c r="C63" s="46">
        <v>2627.5</v>
      </c>
      <c r="D63" s="60" t="e">
        <f>#REF!-C63</f>
        <v>#REF!</v>
      </c>
      <c r="E63" s="71">
        <f>E45</f>
        <v>6973.8</v>
      </c>
      <c r="F63" s="71">
        <f t="shared" ref="F63:G63" si="34">F45</f>
        <v>3053.1</v>
      </c>
      <c r="G63" s="71">
        <f t="shared" si="34"/>
        <v>3920.7000000000003</v>
      </c>
      <c r="H63" s="71">
        <f>H45</f>
        <v>6973.8</v>
      </c>
      <c r="I63" s="66">
        <f t="shared" si="21"/>
        <v>0</v>
      </c>
      <c r="J63" s="71">
        <f t="shared" ref="J63:M63" si="35">J45</f>
        <v>0</v>
      </c>
      <c r="K63" s="71">
        <f t="shared" si="35"/>
        <v>3053.1</v>
      </c>
      <c r="L63" s="71">
        <f t="shared" si="35"/>
        <v>-3053.1</v>
      </c>
      <c r="M63" s="71">
        <f t="shared" si="35"/>
        <v>0</v>
      </c>
      <c r="N63" s="177">
        <f t="shared" si="5"/>
        <v>0</v>
      </c>
      <c r="O63" s="174"/>
    </row>
    <row r="64" spans="1:15" s="6" customFormat="1" ht="49.5" customHeight="1" thickBot="1">
      <c r="A64" s="21"/>
      <c r="B64" s="40" t="s">
        <v>22</v>
      </c>
      <c r="C64" s="46">
        <v>69910</v>
      </c>
      <c r="D64" s="60" t="e">
        <f>#REF!-C64</f>
        <v>#REF!</v>
      </c>
      <c r="E64" s="72">
        <f>E13+E46+E55</f>
        <v>46622.2</v>
      </c>
      <c r="F64" s="72">
        <f t="shared" ref="F64:G64" si="36">F13+F46+F55</f>
        <v>35045</v>
      </c>
      <c r="G64" s="72">
        <f t="shared" si="36"/>
        <v>11110.600000000002</v>
      </c>
      <c r="H64" s="72">
        <f>H13+H46+H55</f>
        <v>38012</v>
      </c>
      <c r="I64" s="97">
        <f t="shared" si="21"/>
        <v>-8610.1999999999971</v>
      </c>
      <c r="J64" s="72">
        <f t="shared" ref="J64:M64" si="37">J13+J46+J55</f>
        <v>38024.5</v>
      </c>
      <c r="K64" s="72">
        <f t="shared" si="37"/>
        <v>36740.100000000006</v>
      </c>
      <c r="L64" s="72">
        <f t="shared" si="37"/>
        <v>1284.3999999999974</v>
      </c>
      <c r="M64" s="72">
        <f t="shared" si="37"/>
        <v>29414.299999999996</v>
      </c>
      <c r="N64" s="178">
        <f t="shared" si="5"/>
        <v>-8610.2000000000044</v>
      </c>
      <c r="O64" s="174"/>
    </row>
    <row r="65" spans="1:15" s="6" customFormat="1" ht="49.5" hidden="1" customHeight="1">
      <c r="A65" s="21"/>
      <c r="B65" s="40"/>
      <c r="C65" s="46"/>
      <c r="D65" s="46"/>
      <c r="F65" s="42"/>
      <c r="G65" s="42"/>
      <c r="H65" s="42">
        <v>38012</v>
      </c>
      <c r="I65" s="42"/>
      <c r="J65" s="88"/>
      <c r="K65" s="42"/>
      <c r="L65" s="42"/>
      <c r="M65" s="42">
        <v>29414.3</v>
      </c>
      <c r="N65" s="179">
        <f t="shared" si="5"/>
        <v>29414.3</v>
      </c>
      <c r="O65" s="174"/>
    </row>
    <row r="66" spans="1:15" s="7" customFormat="1" ht="63" customHeight="1">
      <c r="A66" s="658" t="s">
        <v>23</v>
      </c>
      <c r="B66" s="659"/>
      <c r="C66" s="659"/>
      <c r="D66" s="659"/>
      <c r="E66" s="659"/>
      <c r="F66" s="659"/>
      <c r="G66" s="659"/>
      <c r="H66" s="659"/>
      <c r="I66" s="659"/>
      <c r="J66" s="659"/>
      <c r="K66" s="659"/>
      <c r="L66" s="659"/>
      <c r="M66" s="660"/>
      <c r="N66" s="660"/>
      <c r="O66" s="661"/>
    </row>
    <row r="67" spans="1:15" s="3" customFormat="1" ht="49.5" customHeight="1">
      <c r="A67" s="653" t="s">
        <v>56</v>
      </c>
      <c r="B67" s="654"/>
      <c r="C67" s="654"/>
      <c r="D67" s="654"/>
      <c r="E67" s="654"/>
      <c r="F67" s="654"/>
      <c r="G67" s="654"/>
      <c r="H67" s="654"/>
      <c r="I67" s="654"/>
      <c r="J67" s="654"/>
      <c r="K67" s="654"/>
      <c r="L67" s="654"/>
      <c r="M67" s="649"/>
      <c r="N67" s="649"/>
      <c r="O67" s="655"/>
    </row>
    <row r="68" spans="1:15" s="3" customFormat="1" ht="47.25" customHeight="1" thickBot="1">
      <c r="A68" s="656" t="s">
        <v>50</v>
      </c>
      <c r="B68" s="657"/>
      <c r="C68" s="657"/>
      <c r="D68" s="657"/>
      <c r="E68" s="657"/>
      <c r="F68" s="657"/>
      <c r="G68" s="657"/>
      <c r="H68" s="657"/>
      <c r="I68" s="657"/>
      <c r="J68" s="657"/>
      <c r="K68" s="657"/>
      <c r="L68" s="657"/>
      <c r="M68" s="649"/>
      <c r="N68" s="649"/>
      <c r="O68" s="655"/>
    </row>
    <row r="69" spans="1:15" ht="115.5" customHeight="1">
      <c r="A69" s="40">
        <v>4</v>
      </c>
      <c r="B69" s="17" t="s">
        <v>34</v>
      </c>
      <c r="C69" s="28">
        <f t="shared" ref="C69:D69" si="38">C70+C71+C73+C72</f>
        <v>207874.7</v>
      </c>
      <c r="D69" s="59" t="e">
        <f t="shared" si="38"/>
        <v>#REF!</v>
      </c>
      <c r="E69" s="77">
        <f>E70+E71+E72+E73</f>
        <v>216547.20000000001</v>
      </c>
      <c r="F69" s="78">
        <f>F70+F71+F72+F73</f>
        <v>207874.7</v>
      </c>
      <c r="G69" s="78">
        <f>G70+G71+G72+G73</f>
        <v>216547.20000000001</v>
      </c>
      <c r="H69" s="158">
        <v>225157.4</v>
      </c>
      <c r="I69" s="79">
        <f>H69-E69</f>
        <v>8610.1999999999825</v>
      </c>
      <c r="J69" s="77">
        <f>J70+J71+J72+J73</f>
        <v>216547.20000000001</v>
      </c>
      <c r="K69" s="78">
        <v>197450.2</v>
      </c>
      <c r="L69" s="78">
        <f>J69-K69</f>
        <v>19097</v>
      </c>
      <c r="M69" s="96">
        <f>H69</f>
        <v>225157.4</v>
      </c>
      <c r="N69" s="176">
        <f t="shared" si="5"/>
        <v>8610.1999999999825</v>
      </c>
      <c r="O69" s="174" t="s">
        <v>12</v>
      </c>
    </row>
    <row r="70" spans="1:15" ht="79.5" customHeight="1">
      <c r="A70" s="12" t="s">
        <v>54</v>
      </c>
      <c r="B70" s="17" t="s">
        <v>36</v>
      </c>
      <c r="C70" s="28">
        <f t="shared" ref="C70:D70" si="39">207874.7-C72</f>
        <v>207874.7</v>
      </c>
      <c r="D70" s="59" t="e">
        <f t="shared" si="39"/>
        <v>#REF!</v>
      </c>
      <c r="E70" s="69">
        <f>207874.7-E73</f>
        <v>195457</v>
      </c>
      <c r="F70" s="28">
        <f t="shared" ref="F70:H70" si="40">207874.7-F73</f>
        <v>206648.2</v>
      </c>
      <c r="G70" s="28">
        <f t="shared" si="40"/>
        <v>207874.7</v>
      </c>
      <c r="H70" s="28">
        <f t="shared" si="40"/>
        <v>195457</v>
      </c>
      <c r="I70" s="70">
        <f t="shared" ref="I70:I74" si="41">H70-E70</f>
        <v>0</v>
      </c>
      <c r="J70" s="69">
        <f>207874.7-J73</f>
        <v>195457</v>
      </c>
      <c r="K70" s="28">
        <v>197450.2</v>
      </c>
      <c r="L70" s="28">
        <f t="shared" ref="L70" si="42">J70-K70</f>
        <v>-1993.2000000000116</v>
      </c>
      <c r="M70" s="87">
        <f>H70</f>
        <v>195457</v>
      </c>
      <c r="N70" s="177">
        <f t="shared" si="5"/>
        <v>0</v>
      </c>
      <c r="O70" s="174" t="s">
        <v>12</v>
      </c>
    </row>
    <row r="71" spans="1:15" ht="53.25" customHeight="1">
      <c r="A71" s="12" t="s">
        <v>55</v>
      </c>
      <c r="B71" s="13" t="s">
        <v>35</v>
      </c>
      <c r="C71" s="50">
        <v>0</v>
      </c>
      <c r="D71" s="73" t="e">
        <f>#REF!-C71</f>
        <v>#REF!</v>
      </c>
      <c r="E71" s="69">
        <v>4172.5</v>
      </c>
      <c r="F71" s="28">
        <v>0</v>
      </c>
      <c r="G71" s="28">
        <f t="shared" ref="G71" si="43">E71-F71</f>
        <v>4172.5</v>
      </c>
      <c r="H71" s="52">
        <v>4172.5</v>
      </c>
      <c r="I71" s="70">
        <f t="shared" si="41"/>
        <v>0</v>
      </c>
      <c r="J71" s="171">
        <v>4172.5</v>
      </c>
      <c r="K71" s="28">
        <v>4172.5</v>
      </c>
      <c r="L71" s="28">
        <v>4172.5</v>
      </c>
      <c r="M71" s="28">
        <v>4172.5</v>
      </c>
      <c r="N71" s="177">
        <f t="shared" si="5"/>
        <v>0</v>
      </c>
      <c r="O71" s="174" t="s">
        <v>12</v>
      </c>
    </row>
    <row r="72" spans="1:15" ht="122.25" customHeight="1">
      <c r="A72" s="12" t="s">
        <v>57</v>
      </c>
      <c r="B72" s="51" t="s">
        <v>58</v>
      </c>
      <c r="C72" s="37">
        <v>0</v>
      </c>
      <c r="D72" s="74" t="e">
        <f>#REF!-C72</f>
        <v>#REF!</v>
      </c>
      <c r="E72" s="65">
        <v>4500</v>
      </c>
      <c r="F72" s="25">
        <v>0</v>
      </c>
      <c r="G72" s="28">
        <f>E72-F72</f>
        <v>4500</v>
      </c>
      <c r="H72" s="46">
        <v>4500</v>
      </c>
      <c r="I72" s="70">
        <f t="shared" si="41"/>
        <v>0</v>
      </c>
      <c r="J72" s="65">
        <v>4500</v>
      </c>
      <c r="K72" s="25">
        <v>4500</v>
      </c>
      <c r="L72" s="25">
        <v>4500</v>
      </c>
      <c r="M72" s="25">
        <v>4500</v>
      </c>
      <c r="N72" s="177">
        <f t="shared" si="5"/>
        <v>0</v>
      </c>
      <c r="O72" s="174" t="s">
        <v>12</v>
      </c>
    </row>
    <row r="73" spans="1:15" ht="75.75" customHeight="1">
      <c r="A73" s="12" t="s">
        <v>68</v>
      </c>
      <c r="B73" s="13" t="s">
        <v>67</v>
      </c>
      <c r="C73" s="43"/>
      <c r="D73" s="75"/>
      <c r="E73" s="165">
        <v>12417.7</v>
      </c>
      <c r="F73" s="37">
        <v>1226.5</v>
      </c>
      <c r="G73" s="37">
        <v>0</v>
      </c>
      <c r="H73" s="37">
        <v>12417.7</v>
      </c>
      <c r="I73" s="70">
        <f>H73-E73</f>
        <v>0</v>
      </c>
      <c r="J73" s="165">
        <v>12417.7</v>
      </c>
      <c r="K73" s="25">
        <v>0</v>
      </c>
      <c r="L73" s="28">
        <f>J72-K73</f>
        <v>4500</v>
      </c>
      <c r="M73" s="91">
        <v>12417.7</v>
      </c>
      <c r="N73" s="177">
        <f t="shared" si="5"/>
        <v>0</v>
      </c>
      <c r="O73" s="174" t="s">
        <v>12</v>
      </c>
    </row>
    <row r="74" spans="1:15" ht="120" customHeight="1" thickBot="1">
      <c r="A74" s="12" t="s">
        <v>89</v>
      </c>
      <c r="B74" s="13" t="s">
        <v>88</v>
      </c>
      <c r="C74" s="28">
        <f>'не актуально .'!D75</f>
        <v>15481.83</v>
      </c>
      <c r="D74" s="59">
        <f>'не актуально .'!E75</f>
        <v>0</v>
      </c>
      <c r="E74" s="69">
        <f>'не актуально .'!F75</f>
        <v>0</v>
      </c>
      <c r="F74" s="28">
        <f>'не актуально .'!G75</f>
        <v>0</v>
      </c>
      <c r="G74" s="28">
        <f>'не актуально .'!H75</f>
        <v>0</v>
      </c>
      <c r="H74" s="46">
        <v>0</v>
      </c>
      <c r="I74" s="70">
        <f t="shared" si="41"/>
        <v>0</v>
      </c>
      <c r="J74" s="166">
        <f>'не актуально .'!I75</f>
        <v>0</v>
      </c>
      <c r="K74" s="167">
        <f>'не актуально .'!J75</f>
        <v>0</v>
      </c>
      <c r="L74" s="167">
        <f>'не актуально .'!K75</f>
        <v>0</v>
      </c>
      <c r="M74" s="172">
        <v>0</v>
      </c>
      <c r="N74" s="178">
        <f t="shared" si="5"/>
        <v>0</v>
      </c>
      <c r="O74" s="174" t="s">
        <v>12</v>
      </c>
    </row>
    <row r="75" spans="1:15" ht="72" customHeight="1">
      <c r="A75" s="631" t="s">
        <v>106</v>
      </c>
      <c r="B75" s="634" t="s">
        <v>92</v>
      </c>
      <c r="C75" s="28"/>
      <c r="D75" s="59"/>
      <c r="E75" s="69">
        <v>0</v>
      </c>
      <c r="F75" s="28"/>
      <c r="G75" s="28"/>
      <c r="H75" s="46">
        <v>100</v>
      </c>
      <c r="I75" s="70">
        <f>H75-E75</f>
        <v>100</v>
      </c>
      <c r="J75" s="163">
        <v>0</v>
      </c>
      <c r="K75" s="24"/>
      <c r="L75" s="24"/>
      <c r="M75" s="170">
        <v>100</v>
      </c>
      <c r="N75" s="179">
        <v>100</v>
      </c>
      <c r="O75" s="174" t="s">
        <v>12</v>
      </c>
    </row>
    <row r="76" spans="1:15" ht="72" customHeight="1">
      <c r="A76" s="452"/>
      <c r="B76" s="635"/>
      <c r="C76" s="28"/>
      <c r="D76" s="59"/>
      <c r="E76" s="69">
        <v>0</v>
      </c>
      <c r="F76" s="28"/>
      <c r="G76" s="28"/>
      <c r="H76" s="46">
        <v>2355</v>
      </c>
      <c r="I76" s="70">
        <f t="shared" ref="I76:I88" si="44">H76-E76</f>
        <v>2355</v>
      </c>
      <c r="J76" s="62">
        <v>0</v>
      </c>
      <c r="K76" s="28"/>
      <c r="L76" s="28"/>
      <c r="M76" s="91">
        <v>2355</v>
      </c>
      <c r="N76" s="177">
        <v>2355</v>
      </c>
      <c r="O76" s="174" t="s">
        <v>8</v>
      </c>
    </row>
    <row r="77" spans="1:15" ht="72" customHeight="1">
      <c r="A77" s="631" t="s">
        <v>107</v>
      </c>
      <c r="B77" s="634" t="s">
        <v>65</v>
      </c>
      <c r="C77" s="28"/>
      <c r="D77" s="59"/>
      <c r="E77" s="69">
        <v>0</v>
      </c>
      <c r="F77" s="28"/>
      <c r="G77" s="28"/>
      <c r="H77" s="46">
        <v>352.2</v>
      </c>
      <c r="I77" s="70">
        <f t="shared" si="44"/>
        <v>352.2</v>
      </c>
      <c r="J77" s="62">
        <v>0</v>
      </c>
      <c r="K77" s="28"/>
      <c r="L77" s="28"/>
      <c r="M77" s="91">
        <v>352.2</v>
      </c>
      <c r="N77" s="177">
        <v>352.2</v>
      </c>
      <c r="O77" s="174" t="s">
        <v>12</v>
      </c>
    </row>
    <row r="78" spans="1:15" ht="72" customHeight="1" thickBot="1">
      <c r="A78" s="452"/>
      <c r="B78" s="635"/>
      <c r="C78" s="28"/>
      <c r="D78" s="59"/>
      <c r="E78" s="166">
        <v>0</v>
      </c>
      <c r="F78" s="167"/>
      <c r="G78" s="167"/>
      <c r="H78" s="168">
        <v>1761</v>
      </c>
      <c r="I78" s="169">
        <f t="shared" si="44"/>
        <v>1761</v>
      </c>
      <c r="J78" s="62">
        <v>0</v>
      </c>
      <c r="K78" s="28"/>
      <c r="L78" s="28"/>
      <c r="M78" s="91">
        <v>1761</v>
      </c>
      <c r="N78" s="177">
        <v>1761</v>
      </c>
      <c r="O78" s="174" t="s">
        <v>8</v>
      </c>
    </row>
    <row r="79" spans="1:15" ht="72" customHeight="1">
      <c r="A79" s="632" t="s">
        <v>108</v>
      </c>
      <c r="B79" s="636" t="s">
        <v>47</v>
      </c>
      <c r="C79" s="24"/>
      <c r="D79" s="161"/>
      <c r="E79" s="162">
        <v>0</v>
      </c>
      <c r="F79" s="24"/>
      <c r="G79" s="24"/>
      <c r="H79" s="42">
        <v>117.4</v>
      </c>
      <c r="I79" s="159">
        <f t="shared" si="44"/>
        <v>117.4</v>
      </c>
      <c r="J79" s="163">
        <v>0</v>
      </c>
      <c r="K79" s="163"/>
      <c r="L79" s="163"/>
      <c r="M79" s="164">
        <v>117.4</v>
      </c>
      <c r="N79" s="179">
        <v>117.4</v>
      </c>
      <c r="O79" s="174" t="s">
        <v>12</v>
      </c>
    </row>
    <row r="80" spans="1:15" ht="72" customHeight="1">
      <c r="A80" s="524"/>
      <c r="B80" s="630"/>
      <c r="C80" s="28"/>
      <c r="D80" s="59"/>
      <c r="E80" s="69">
        <v>0</v>
      </c>
      <c r="F80" s="28"/>
      <c r="G80" s="28"/>
      <c r="H80" s="46">
        <v>528.29999999999995</v>
      </c>
      <c r="I80" s="159">
        <f t="shared" si="44"/>
        <v>528.29999999999995</v>
      </c>
      <c r="J80" s="62">
        <v>0</v>
      </c>
      <c r="K80" s="62"/>
      <c r="L80" s="62"/>
      <c r="M80" s="160">
        <v>528.29999999999995</v>
      </c>
      <c r="N80" s="177">
        <v>528.29999999999995</v>
      </c>
      <c r="O80" s="174" t="s">
        <v>8</v>
      </c>
    </row>
    <row r="81" spans="1:15" ht="72" customHeight="1">
      <c r="A81" s="633" t="s">
        <v>109</v>
      </c>
      <c r="B81" s="629" t="s">
        <v>76</v>
      </c>
      <c r="C81" s="28"/>
      <c r="D81" s="59"/>
      <c r="E81" s="69">
        <v>0</v>
      </c>
      <c r="F81" s="28"/>
      <c r="G81" s="28"/>
      <c r="H81" s="46">
        <v>293.5</v>
      </c>
      <c r="I81" s="159">
        <f t="shared" si="44"/>
        <v>293.5</v>
      </c>
      <c r="J81" s="62">
        <v>0</v>
      </c>
      <c r="K81" s="62"/>
      <c r="L81" s="62"/>
      <c r="M81" s="160">
        <v>293.5</v>
      </c>
      <c r="N81" s="177">
        <v>293.5</v>
      </c>
      <c r="O81" s="174" t="s">
        <v>12</v>
      </c>
    </row>
    <row r="82" spans="1:15" ht="72" customHeight="1">
      <c r="A82" s="524"/>
      <c r="B82" s="630"/>
      <c r="C82" s="28"/>
      <c r="D82" s="59"/>
      <c r="E82" s="69">
        <v>0</v>
      </c>
      <c r="F82" s="28"/>
      <c r="G82" s="28"/>
      <c r="H82" s="46">
        <v>880.5</v>
      </c>
      <c r="I82" s="159">
        <f t="shared" si="44"/>
        <v>880.5</v>
      </c>
      <c r="J82" s="62">
        <v>0</v>
      </c>
      <c r="K82" s="62"/>
      <c r="L82" s="62"/>
      <c r="M82" s="160">
        <v>880.5</v>
      </c>
      <c r="N82" s="177">
        <v>880.5</v>
      </c>
      <c r="O82" s="174" t="s">
        <v>8</v>
      </c>
    </row>
    <row r="83" spans="1:15" ht="72" customHeight="1">
      <c r="A83" s="633" t="s">
        <v>110</v>
      </c>
      <c r="B83" s="629" t="s">
        <v>75</v>
      </c>
      <c r="C83" s="28"/>
      <c r="D83" s="59"/>
      <c r="E83" s="69">
        <v>0</v>
      </c>
      <c r="F83" s="28"/>
      <c r="G83" s="28"/>
      <c r="H83" s="46">
        <v>234.8</v>
      </c>
      <c r="I83" s="159">
        <f t="shared" si="44"/>
        <v>234.8</v>
      </c>
      <c r="J83" s="62">
        <v>0</v>
      </c>
      <c r="K83" s="62"/>
      <c r="L83" s="62"/>
      <c r="M83" s="160">
        <v>234.8</v>
      </c>
      <c r="N83" s="177">
        <v>234.8</v>
      </c>
      <c r="O83" s="174" t="s">
        <v>12</v>
      </c>
    </row>
    <row r="84" spans="1:15" ht="72" customHeight="1">
      <c r="A84" s="524"/>
      <c r="B84" s="630"/>
      <c r="C84" s="28"/>
      <c r="D84" s="59"/>
      <c r="E84" s="69">
        <v>0</v>
      </c>
      <c r="F84" s="28"/>
      <c r="G84" s="28"/>
      <c r="H84" s="46">
        <v>1584.9</v>
      </c>
      <c r="I84" s="159">
        <f t="shared" si="44"/>
        <v>1584.9</v>
      </c>
      <c r="J84" s="62">
        <v>0</v>
      </c>
      <c r="K84" s="62"/>
      <c r="L84" s="62"/>
      <c r="M84" s="160">
        <v>1584.9</v>
      </c>
      <c r="N84" s="177">
        <v>1584.9</v>
      </c>
      <c r="O84" s="174" t="s">
        <v>8</v>
      </c>
    </row>
    <row r="85" spans="1:15" ht="72" customHeight="1">
      <c r="A85" s="633" t="s">
        <v>111</v>
      </c>
      <c r="B85" s="629" t="s">
        <v>64</v>
      </c>
      <c r="C85" s="28"/>
      <c r="D85" s="59"/>
      <c r="E85" s="69">
        <v>0</v>
      </c>
      <c r="F85" s="28"/>
      <c r="G85" s="28"/>
      <c r="H85" s="46">
        <v>10</v>
      </c>
      <c r="I85" s="159">
        <f t="shared" si="44"/>
        <v>10</v>
      </c>
      <c r="J85" s="62">
        <v>0</v>
      </c>
      <c r="K85" s="62"/>
      <c r="L85" s="62"/>
      <c r="M85" s="160">
        <v>10</v>
      </c>
      <c r="N85" s="177">
        <v>10</v>
      </c>
      <c r="O85" s="174" t="s">
        <v>12</v>
      </c>
    </row>
    <row r="86" spans="1:15" ht="72" customHeight="1">
      <c r="A86" s="524"/>
      <c r="B86" s="630"/>
      <c r="C86" s="28"/>
      <c r="D86" s="59"/>
      <c r="E86" s="69">
        <v>0</v>
      </c>
      <c r="F86" s="28"/>
      <c r="G86" s="28"/>
      <c r="H86" s="46">
        <v>322.60000000000002</v>
      </c>
      <c r="I86" s="159">
        <f t="shared" si="44"/>
        <v>322.60000000000002</v>
      </c>
      <c r="J86" s="62">
        <v>0</v>
      </c>
      <c r="K86" s="62"/>
      <c r="L86" s="62"/>
      <c r="M86" s="160">
        <v>322.60000000000002</v>
      </c>
      <c r="N86" s="177">
        <v>322.60000000000002</v>
      </c>
      <c r="O86" s="174" t="s">
        <v>62</v>
      </c>
    </row>
    <row r="87" spans="1:15" ht="26.25">
      <c r="A87" s="633" t="s">
        <v>112</v>
      </c>
      <c r="B87" s="629" t="s">
        <v>66</v>
      </c>
      <c r="C87" s="28"/>
      <c r="D87" s="59"/>
      <c r="E87" s="69">
        <v>0</v>
      </c>
      <c r="F87" s="28"/>
      <c r="G87" s="28"/>
      <c r="H87" s="46">
        <v>0</v>
      </c>
      <c r="I87" s="159">
        <f t="shared" si="44"/>
        <v>0</v>
      </c>
      <c r="J87" s="62">
        <v>0</v>
      </c>
      <c r="K87" s="62"/>
      <c r="L87" s="62"/>
      <c r="M87" s="160">
        <v>0</v>
      </c>
      <c r="N87" s="177">
        <v>0</v>
      </c>
      <c r="O87" s="174" t="s">
        <v>12</v>
      </c>
    </row>
    <row r="88" spans="1:15" ht="137.25" customHeight="1">
      <c r="A88" s="524"/>
      <c r="B88" s="630"/>
      <c r="C88" s="28"/>
      <c r="D88" s="59"/>
      <c r="E88" s="69">
        <v>0</v>
      </c>
      <c r="F88" s="28"/>
      <c r="G88" s="28"/>
      <c r="H88" s="46">
        <v>70</v>
      </c>
      <c r="I88" s="159">
        <f t="shared" si="44"/>
        <v>70</v>
      </c>
      <c r="J88" s="62">
        <v>0</v>
      </c>
      <c r="K88" s="62"/>
      <c r="L88" s="62"/>
      <c r="M88" s="160">
        <v>70</v>
      </c>
      <c r="N88" s="177">
        <v>70</v>
      </c>
      <c r="O88" s="174" t="s">
        <v>62</v>
      </c>
    </row>
    <row r="89" spans="1:15" s="5" customFormat="1" ht="26.25" hidden="1">
      <c r="A89" s="21"/>
      <c r="B89" s="14"/>
      <c r="C89" s="45"/>
      <c r="D89" s="45"/>
      <c r="E89" s="76"/>
      <c r="F89" s="76"/>
      <c r="G89" s="76"/>
      <c r="H89" s="76">
        <v>225157.4</v>
      </c>
      <c r="I89" s="76"/>
      <c r="J89" s="45"/>
      <c r="K89" s="45"/>
      <c r="L89" s="45"/>
      <c r="M89" s="92"/>
      <c r="N89" s="177">
        <f t="shared" ref="N89:N99" si="45">M89-J89</f>
        <v>0</v>
      </c>
      <c r="O89" s="174"/>
    </row>
    <row r="90" spans="1:15" s="5" customFormat="1" ht="39" hidden="1" customHeight="1">
      <c r="A90" s="21"/>
      <c r="B90" s="14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92"/>
      <c r="N90" s="177">
        <f t="shared" si="45"/>
        <v>0</v>
      </c>
      <c r="O90" s="174"/>
    </row>
    <row r="91" spans="1:15" s="5" customFormat="1" ht="26.25">
      <c r="A91" s="21"/>
      <c r="B91" s="14" t="s">
        <v>118</v>
      </c>
      <c r="C91" s="45">
        <v>267360.2</v>
      </c>
      <c r="D91" s="45" t="e">
        <v>#REF!</v>
      </c>
      <c r="E91" s="45">
        <f>E92+E93+E94</f>
        <v>216547.20000000001</v>
      </c>
      <c r="F91" s="45">
        <f t="shared" ref="F91:G91" si="46">F92+F93+F94</f>
        <v>217678.1</v>
      </c>
      <c r="G91" s="45">
        <f t="shared" si="46"/>
        <v>217678.1</v>
      </c>
      <c r="H91" s="45">
        <f>H92+H93+H94</f>
        <v>225157.4</v>
      </c>
      <c r="I91" s="45">
        <f>H91-E91</f>
        <v>8610.1999999999825</v>
      </c>
      <c r="J91" s="45">
        <f t="shared" ref="J91:L91" si="47">J92+J93+J94</f>
        <v>216547.20000000001</v>
      </c>
      <c r="K91" s="45">
        <f t="shared" si="47"/>
        <v>206125.7</v>
      </c>
      <c r="L91" s="45">
        <f t="shared" si="47"/>
        <v>11183.299999999988</v>
      </c>
      <c r="M91" s="45">
        <f>M92+M93+M94</f>
        <v>225157.4</v>
      </c>
      <c r="N91" s="177">
        <f>M91-J91</f>
        <v>8610.1999999999825</v>
      </c>
      <c r="O91" s="174"/>
    </row>
    <row r="92" spans="1:15" s="5" customFormat="1" ht="26.25">
      <c r="A92" s="21"/>
      <c r="B92" s="14" t="s">
        <v>20</v>
      </c>
      <c r="C92" s="45">
        <v>220949</v>
      </c>
      <c r="D92" s="45" t="e">
        <v>#REF!</v>
      </c>
      <c r="E92" s="45">
        <f>E69</f>
        <v>216547.20000000001</v>
      </c>
      <c r="F92" s="45">
        <v>217678.1</v>
      </c>
      <c r="G92" s="45">
        <v>217678.1</v>
      </c>
      <c r="H92" s="45">
        <f>H70+H71+H72+H73+H75+H77+H79+H81+H83+H85+H87</f>
        <v>217655.1</v>
      </c>
      <c r="I92" s="45">
        <f t="shared" ref="I92:I94" si="48">H92-E92</f>
        <v>1107.8999999999942</v>
      </c>
      <c r="J92" s="45">
        <f t="shared" ref="J92:L92" si="49">J70+J71+J72+J73+J75+J77+J79+J81+J83+J85+J87</f>
        <v>216547.20000000001</v>
      </c>
      <c r="K92" s="45">
        <f t="shared" si="49"/>
        <v>206122.7</v>
      </c>
      <c r="L92" s="45">
        <f t="shared" si="49"/>
        <v>11179.299999999988</v>
      </c>
      <c r="M92" s="45">
        <f>M70+M71+M72+M73+M75+M77+M79+M81+M83+M85+M87</f>
        <v>217655.1</v>
      </c>
      <c r="N92" s="177">
        <f t="shared" ref="N92:N94" si="50">M92-J92</f>
        <v>1107.8999999999942</v>
      </c>
      <c r="O92" s="174"/>
    </row>
    <row r="93" spans="1:15" s="5" customFormat="1" ht="26.25">
      <c r="A93" s="21"/>
      <c r="B93" s="14" t="s">
        <v>21</v>
      </c>
      <c r="C93" s="45">
        <v>43783.7</v>
      </c>
      <c r="D93" s="45" t="e">
        <v>#REF!</v>
      </c>
      <c r="E93" s="45">
        <v>0</v>
      </c>
      <c r="F93" s="45">
        <v>0</v>
      </c>
      <c r="G93" s="45">
        <v>0</v>
      </c>
      <c r="H93" s="45">
        <f>H76+H78+H80+H82+H84+H86+H88</f>
        <v>7502.3000000000011</v>
      </c>
      <c r="I93" s="45">
        <f t="shared" si="48"/>
        <v>7502.3000000000011</v>
      </c>
      <c r="J93" s="45">
        <f t="shared" ref="J93:M93" si="51">J76+J78+J80+J82+J84+J86+J88</f>
        <v>0</v>
      </c>
      <c r="K93" s="45">
        <f t="shared" si="51"/>
        <v>0</v>
      </c>
      <c r="L93" s="45">
        <f t="shared" si="51"/>
        <v>0</v>
      </c>
      <c r="M93" s="45">
        <f t="shared" si="51"/>
        <v>7502.3000000000011</v>
      </c>
      <c r="N93" s="177">
        <f t="shared" si="50"/>
        <v>7502.3000000000011</v>
      </c>
      <c r="O93" s="174"/>
    </row>
    <row r="94" spans="1:15" s="5" customFormat="1" ht="26.25">
      <c r="A94" s="21"/>
      <c r="B94" s="14" t="s">
        <v>25</v>
      </c>
      <c r="C94" s="45">
        <v>2627.5</v>
      </c>
      <c r="D94" s="45" t="e">
        <v>#REF!</v>
      </c>
      <c r="E94" s="45">
        <v>0</v>
      </c>
      <c r="F94" s="45">
        <v>0</v>
      </c>
      <c r="G94" s="45">
        <v>0</v>
      </c>
      <c r="H94" s="45">
        <v>0</v>
      </c>
      <c r="I94" s="45">
        <f t="shared" si="48"/>
        <v>0</v>
      </c>
      <c r="J94" s="45">
        <v>0</v>
      </c>
      <c r="K94" s="45">
        <v>3</v>
      </c>
      <c r="L94" s="45">
        <v>4</v>
      </c>
      <c r="M94" s="45">
        <v>0</v>
      </c>
      <c r="N94" s="177">
        <f t="shared" si="50"/>
        <v>0</v>
      </c>
      <c r="O94" s="174"/>
    </row>
    <row r="95" spans="1:15" s="5" customFormat="1" ht="26.25">
      <c r="A95" s="21"/>
      <c r="B95" s="14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92"/>
      <c r="N95" s="177"/>
      <c r="O95" s="174"/>
    </row>
    <row r="96" spans="1:15" s="16" customFormat="1" ht="41.25" customHeight="1">
      <c r="A96" s="22"/>
      <c r="B96" s="39" t="s">
        <v>24</v>
      </c>
      <c r="C96" s="37">
        <v>267360.2</v>
      </c>
      <c r="D96" s="37" t="e">
        <f>#REF!-C96</f>
        <v>#REF!</v>
      </c>
      <c r="E96" s="98">
        <f>E97+E98+E99</f>
        <v>263169.40000000002</v>
      </c>
      <c r="F96" s="98">
        <f t="shared" ref="F96:J96" si="52">F97+F98+F99</f>
        <v>252722.10000000003</v>
      </c>
      <c r="G96" s="98">
        <f t="shared" si="52"/>
        <v>228786.7</v>
      </c>
      <c r="H96" s="98">
        <f>H97+H98+H99</f>
        <v>263169.40000000002</v>
      </c>
      <c r="I96" s="98">
        <f>H96-E96</f>
        <v>0</v>
      </c>
      <c r="J96" s="98">
        <f t="shared" si="52"/>
        <v>254571.7</v>
      </c>
      <c r="K96" s="98">
        <f t="shared" ref="K96:M96" si="53">K97+K98+K99</f>
        <v>242862.80000000002</v>
      </c>
      <c r="L96" s="98">
        <f t="shared" si="53"/>
        <v>12463.699999999984</v>
      </c>
      <c r="M96" s="98">
        <f t="shared" si="53"/>
        <v>254571.69999999998</v>
      </c>
      <c r="N96" s="177">
        <f t="shared" si="45"/>
        <v>0</v>
      </c>
      <c r="O96" s="174"/>
    </row>
    <row r="97" spans="1:15" s="5" customFormat="1" ht="26.25">
      <c r="A97" s="21"/>
      <c r="B97" s="14" t="s">
        <v>20</v>
      </c>
      <c r="C97" s="37">
        <v>220949</v>
      </c>
      <c r="D97" s="44" t="e">
        <f>#REF!-C97</f>
        <v>#REF!</v>
      </c>
      <c r="E97" s="37">
        <f>E92+E61</f>
        <v>245046.90000000002</v>
      </c>
      <c r="F97" s="37">
        <f t="shared" ref="F97:M97" si="54">F92+F61</f>
        <v>241358.80000000002</v>
      </c>
      <c r="G97" s="37">
        <f t="shared" si="54"/>
        <v>222027.5</v>
      </c>
      <c r="H97" s="37">
        <f t="shared" si="54"/>
        <v>245046.9</v>
      </c>
      <c r="I97" s="98">
        <f t="shared" ref="I97:I99" si="55">H97-E97</f>
        <v>0</v>
      </c>
      <c r="J97" s="37">
        <f t="shared" si="54"/>
        <v>244484.90000000002</v>
      </c>
      <c r="K97" s="37">
        <f t="shared" si="54"/>
        <v>231499.5</v>
      </c>
      <c r="L97" s="37">
        <f t="shared" si="54"/>
        <v>13740.199999999986</v>
      </c>
      <c r="M97" s="37">
        <f t="shared" si="54"/>
        <v>244484.9</v>
      </c>
      <c r="N97" s="177">
        <f t="shared" si="45"/>
        <v>0</v>
      </c>
      <c r="O97" s="174"/>
    </row>
    <row r="98" spans="1:15" s="5" customFormat="1" ht="26.25">
      <c r="A98" s="21"/>
      <c r="B98" s="14" t="s">
        <v>21</v>
      </c>
      <c r="C98" s="37">
        <v>43783.7</v>
      </c>
      <c r="D98" s="44" t="e">
        <f>#REF!-C98</f>
        <v>#REF!</v>
      </c>
      <c r="E98" s="37">
        <f>E62+E93</f>
        <v>11148.699999999999</v>
      </c>
      <c r="F98" s="37">
        <f t="shared" ref="F98:M98" si="56">F62+F93</f>
        <v>8310.1999999999989</v>
      </c>
      <c r="G98" s="37">
        <f t="shared" si="56"/>
        <v>2838.5</v>
      </c>
      <c r="H98" s="37">
        <f t="shared" si="56"/>
        <v>11148.7</v>
      </c>
      <c r="I98" s="98">
        <f t="shared" si="55"/>
        <v>0</v>
      </c>
      <c r="J98" s="37">
        <f t="shared" si="56"/>
        <v>10086.799999999999</v>
      </c>
      <c r="K98" s="37">
        <f t="shared" si="56"/>
        <v>8310.2000000000007</v>
      </c>
      <c r="L98" s="37">
        <f t="shared" si="56"/>
        <v>1776.599999999999</v>
      </c>
      <c r="M98" s="37">
        <f t="shared" si="56"/>
        <v>10086.800000000001</v>
      </c>
      <c r="N98" s="177">
        <f t="shared" si="45"/>
        <v>0</v>
      </c>
      <c r="O98" s="174"/>
    </row>
    <row r="99" spans="1:15" s="5" customFormat="1" ht="26.25">
      <c r="A99" s="21"/>
      <c r="B99" s="14" t="s">
        <v>25</v>
      </c>
      <c r="C99" s="37">
        <v>2627.5</v>
      </c>
      <c r="D99" s="44" t="e">
        <f>#REF!-C99</f>
        <v>#REF!</v>
      </c>
      <c r="E99" s="37">
        <f>E63</f>
        <v>6973.8</v>
      </c>
      <c r="F99" s="37">
        <f t="shared" ref="F99:M99" si="57">F63</f>
        <v>3053.1</v>
      </c>
      <c r="G99" s="37">
        <f t="shared" si="57"/>
        <v>3920.7000000000003</v>
      </c>
      <c r="H99" s="37">
        <f t="shared" si="57"/>
        <v>6973.8</v>
      </c>
      <c r="I99" s="98">
        <f t="shared" si="55"/>
        <v>0</v>
      </c>
      <c r="J99" s="37">
        <f t="shared" si="57"/>
        <v>0</v>
      </c>
      <c r="K99" s="37">
        <f t="shared" si="57"/>
        <v>3053.1</v>
      </c>
      <c r="L99" s="37">
        <f t="shared" si="57"/>
        <v>-3053.1</v>
      </c>
      <c r="M99" s="37">
        <f t="shared" si="57"/>
        <v>0</v>
      </c>
      <c r="N99" s="177">
        <f t="shared" si="45"/>
        <v>0</v>
      </c>
      <c r="O99" s="174"/>
    </row>
  </sheetData>
  <mergeCells count="54">
    <mergeCell ref="A67:O67"/>
    <mergeCell ref="A68:O68"/>
    <mergeCell ref="A66:O66"/>
    <mergeCell ref="A18:A19"/>
    <mergeCell ref="B18:B19"/>
    <mergeCell ref="A20:A21"/>
    <mergeCell ref="B20:B21"/>
    <mergeCell ref="A22:A24"/>
    <mergeCell ref="B22:B24"/>
    <mergeCell ref="A25:A26"/>
    <mergeCell ref="B25:B26"/>
    <mergeCell ref="B27:B28"/>
    <mergeCell ref="A29:A30"/>
    <mergeCell ref="B29:B30"/>
    <mergeCell ref="A31:A32"/>
    <mergeCell ref="B31:B32"/>
    <mergeCell ref="A3:L3"/>
    <mergeCell ref="A8:L8"/>
    <mergeCell ref="A9:L9"/>
    <mergeCell ref="A10:A12"/>
    <mergeCell ref="B10:B12"/>
    <mergeCell ref="A16:A17"/>
    <mergeCell ref="B16:B17"/>
    <mergeCell ref="E4:I5"/>
    <mergeCell ref="J4:N5"/>
    <mergeCell ref="A4:A6"/>
    <mergeCell ref="B4:B6"/>
    <mergeCell ref="A7:N7"/>
    <mergeCell ref="A51:A53"/>
    <mergeCell ref="B51:B53"/>
    <mergeCell ref="A56:A58"/>
    <mergeCell ref="B57:B58"/>
    <mergeCell ref="A59:A60"/>
    <mergeCell ref="B38:B39"/>
    <mergeCell ref="A43:A45"/>
    <mergeCell ref="B43:B45"/>
    <mergeCell ref="A47:A49"/>
    <mergeCell ref="B47:B49"/>
    <mergeCell ref="A27:A28"/>
    <mergeCell ref="B85:B86"/>
    <mergeCell ref="B87:B88"/>
    <mergeCell ref="A75:A76"/>
    <mergeCell ref="A77:A78"/>
    <mergeCell ref="A79:A80"/>
    <mergeCell ref="A81:A82"/>
    <mergeCell ref="A83:A84"/>
    <mergeCell ref="A85:A86"/>
    <mergeCell ref="A87:A88"/>
    <mergeCell ref="B75:B76"/>
    <mergeCell ref="B77:B78"/>
    <mergeCell ref="B79:B80"/>
    <mergeCell ref="B81:B82"/>
    <mergeCell ref="B83:B84"/>
    <mergeCell ref="A38:A39"/>
  </mergeCells>
  <phoneticPr fontId="19" type="noConversion"/>
  <pageMargins left="0.39370078740157483" right="0.35433070866141736" top="0.35433070866141736" bottom="0.35433070866141736" header="0.11811023622047245" footer="0.1574803149606299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уточнение 15.12,25 (2)</vt:lpstr>
      <vt:lpstr>уточнение 15.12,25</vt:lpstr>
      <vt:lpstr>поясеительная+</vt:lpstr>
      <vt:lpstr>Прил 1  (2)</vt:lpstr>
      <vt:lpstr>правильно</vt:lpstr>
      <vt:lpstr>Прил 1 </vt:lpstr>
      <vt:lpstr>не актуально .</vt:lpstr>
      <vt:lpstr>не актуально</vt:lpstr>
      <vt:lpstr>'не актуально 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2026-03-18T03:27:22Z</dcterms:modified>
</cp:coreProperties>
</file>